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ziv\data\AOD-SGS\DirFin\GestFinBeheer\Thesaurie-Tresorerie\01 Berekeningen\Begroting\"/>
    </mc:Choice>
  </mc:AlternateContent>
  <xr:revisionPtr revIDLastSave="0" documentId="8_{1E75F189-3CBD-4245-8A98-161FD63C2E2F}" xr6:coauthVersionLast="47" xr6:coauthVersionMax="47" xr10:uidLastSave="{00000000-0000-0000-0000-000000000000}"/>
  <bookViews>
    <workbookView xWindow="30" yWindow="240" windowWidth="26325" windowHeight="19005" activeTab="3" xr2:uid="{D13BAAE0-0957-40B0-B46C-3DB542872354}"/>
  </bookViews>
  <sheets>
    <sheet name="ontvangsten" sheetId="1" r:id="rId1"/>
    <sheet name="uitgaven" sheetId="2" r:id="rId2"/>
    <sheet name="recettes" sheetId="3" r:id="rId3"/>
    <sheet name="dépenses" sheetId="4" r:id="rId4"/>
  </sheets>
  <externalReferences>
    <externalReference r:id="rId5"/>
  </externalReferences>
  <definedNames>
    <definedName name="begr_jaar">[1]Blad5!$A$2</definedName>
    <definedName name="taal">[1]Blad5!$A$1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6" i="2" l="1"/>
  <c r="A85" i="2"/>
  <c r="A84" i="2"/>
  <c r="A83" i="2"/>
  <c r="A82" i="2"/>
  <c r="A81" i="2"/>
  <c r="A80" i="2"/>
  <c r="A79" i="2"/>
  <c r="A78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2" i="2"/>
  <c r="A31" i="2"/>
  <c r="A30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G2" i="2"/>
  <c r="F2" i="2"/>
  <c r="E2" i="2"/>
  <c r="D2" i="2"/>
  <c r="C2" i="2"/>
  <c r="B2" i="2"/>
  <c r="A2" i="2"/>
  <c r="G1" i="2"/>
  <c r="A52" i="1"/>
  <c r="A51" i="1"/>
  <c r="A50" i="1"/>
  <c r="A49" i="1"/>
  <c r="A48" i="1"/>
  <c r="A47" i="1"/>
  <c r="A46" i="1"/>
  <c r="A45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F2" i="1"/>
  <c r="E2" i="1"/>
  <c r="D2" i="1"/>
  <c r="C2" i="1"/>
  <c r="B2" i="1"/>
  <c r="A2" i="1"/>
  <c r="G1" i="1"/>
  <c r="A1" i="1" l="1"/>
</calcChain>
</file>

<file path=xl/sharedStrings.xml><?xml version="1.0" encoding="utf-8"?>
<sst xmlns="http://schemas.openxmlformats.org/spreadsheetml/2006/main" count="192" uniqueCount="143">
  <si>
    <t>PM</t>
  </si>
  <si>
    <t>Seed money</t>
  </si>
  <si>
    <t>Recettes</t>
  </si>
  <si>
    <t>Soins de santé</t>
  </si>
  <si>
    <t>Indemnisation
regl général</t>
  </si>
  <si>
    <t>Indemnisations
regl indép</t>
  </si>
  <si>
    <t>Mineurs</t>
  </si>
  <si>
    <t>FAM</t>
  </si>
  <si>
    <t>Total</t>
  </si>
  <si>
    <t>Recettes gestion globale</t>
  </si>
  <si>
    <t>Gestion globale §1bis - salariés</t>
  </si>
  <si>
    <t>Gestion globale §1bis - indépendants</t>
  </si>
  <si>
    <t>Financement alt 1§quater - salariés</t>
  </si>
  <si>
    <t>Financement alt 1§quater - indépendants</t>
  </si>
  <si>
    <t>Transfert salariés - carrières mixte</t>
  </si>
  <si>
    <t>Financement</t>
  </si>
  <si>
    <t>Financement IBF via gestion globale salariés</t>
  </si>
  <si>
    <t>Financement Fond Blouses Blaches BFM</t>
  </si>
  <si>
    <t>Dotation taxe sur compte titres</t>
  </si>
  <si>
    <t>Cotisation</t>
  </si>
  <si>
    <t>Cotisations personelles</t>
  </si>
  <si>
    <t>Cotisations pensionés</t>
  </si>
  <si>
    <t>Recettes affectées</t>
  </si>
  <si>
    <t>Recettes rééducation</t>
  </si>
  <si>
    <t>Assurance Automobile</t>
  </si>
  <si>
    <t>Assurance Hospitalisation</t>
  </si>
  <si>
    <t>Redevances produit pharmaceutiques</t>
  </si>
  <si>
    <t>Cotisationchiffre d'affaires produits pharmaceutiques</t>
  </si>
  <si>
    <t>Cotisation marketinf firmes pharmaceutiques</t>
  </si>
  <si>
    <t>Transferts</t>
  </si>
  <si>
    <t>ONP - Pension de retraite ouvriers mineurs</t>
  </si>
  <si>
    <t>Revenus de placements</t>
  </si>
  <si>
    <t>Intérêts placement OA</t>
  </si>
  <si>
    <t>Placement fonds de cotisation</t>
  </si>
  <si>
    <t>Divers</t>
  </si>
  <si>
    <t>Conventions internationales</t>
  </si>
  <si>
    <t>Intérêts judiciaires</t>
  </si>
  <si>
    <t>Récupérations art 157</t>
  </si>
  <si>
    <t>Récuperation pensions inval ouvriers mineurs</t>
  </si>
  <si>
    <t>Transfert maladie chroniques</t>
  </si>
  <si>
    <t>Amendes Office de Controle Mutualités</t>
  </si>
  <si>
    <t>Contrats art 111 médicaments (ancien art 81)</t>
  </si>
  <si>
    <t>Accord protocol - financement communautés</t>
  </si>
  <si>
    <t>Plan de relance européen</t>
  </si>
  <si>
    <t>Protocole d'accord convention internationales</t>
  </si>
  <si>
    <t>Plan de relance belge</t>
  </si>
  <si>
    <t>Recettes diverses non-ventilées</t>
  </si>
  <si>
    <t>Frais de justice, à rembourser par des tiers</t>
  </si>
  <si>
    <t>Récupérations (FAM)</t>
  </si>
  <si>
    <t>Fonds ReAT</t>
  </si>
  <si>
    <t>Transition réforme d'état</t>
  </si>
  <si>
    <t>Financement dépenses Communauté Flamande</t>
  </si>
  <si>
    <t>Financement dépenses Communauté Francophone</t>
  </si>
  <si>
    <t>Financement dépenses Région bruxelloise</t>
  </si>
  <si>
    <t>Financement dépenses Communauté Germanophone</t>
  </si>
  <si>
    <t>SOUS-TOTAL RECETTES</t>
  </si>
  <si>
    <t>Transfert interne (Dotation FAM)</t>
  </si>
  <si>
    <t>TOTAL RECETTES</t>
  </si>
  <si>
    <t>Expertise</t>
  </si>
  <si>
    <t>Campagnes</t>
  </si>
  <si>
    <t>geneeskundige
verzorging</t>
  </si>
  <si>
    <t>Uitkeringen
alg reg</t>
  </si>
  <si>
    <t>Uitkeringen
Reg zelfst</t>
  </si>
  <si>
    <t>Mijnw</t>
  </si>
  <si>
    <t>FMO</t>
  </si>
  <si>
    <t>Totaal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</si>
  <si>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</si>
  <si>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</si>
  <si>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</si>
  <si>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</si>
  <si>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</si>
  <si>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</si>
  <si>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</si>
  <si>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chauffage</t>
  </si>
  <si>
    <t>Indemnisations -Sin Catastrophiques</t>
  </si>
  <si>
    <t>Expertises contradictoires</t>
  </si>
  <si>
    <t>Frais d'administration OA</t>
  </si>
  <si>
    <t>Forfait frais d'administration 5 OA</t>
  </si>
  <si>
    <t>Montant globale frais d'adm 5 OA</t>
  </si>
  <si>
    <t>Déduction provisoire frais d'adm 5 OA</t>
  </si>
  <si>
    <t>Forfait frais d'administration CSS HR Rail</t>
  </si>
  <si>
    <t>Frais d'administration CAAMI</t>
  </si>
  <si>
    <t>20% intérêts placement et boni</t>
  </si>
  <si>
    <t>% sur récupérations</t>
  </si>
  <si>
    <t>Intérêts cotisations</t>
  </si>
  <si>
    <t>Réintegration ReAT</t>
  </si>
  <si>
    <t>Charges INAMI</t>
  </si>
  <si>
    <t>Frais de gestion INAMI</t>
  </si>
  <si>
    <t>Frais de mission INAMI</t>
  </si>
  <si>
    <t>Contentieux relatif aux mission</t>
  </si>
  <si>
    <t>Honoraires autres que contentieux relatif aux mission</t>
  </si>
  <si>
    <t>Statut social</t>
  </si>
  <si>
    <t>Maitres de stage</t>
  </si>
  <si>
    <t>Article 56 - 22</t>
  </si>
  <si>
    <t>Transfert centre de connaissance</t>
  </si>
  <si>
    <t>Accord social</t>
  </si>
  <si>
    <t>IMA échantillon</t>
  </si>
  <si>
    <t>E-santé</t>
  </si>
  <si>
    <t>Dotation E-Health</t>
  </si>
  <si>
    <t>OSSOM - marins pensionées</t>
  </si>
  <si>
    <t>Associations de patients</t>
  </si>
  <si>
    <t>Caisse des Marins - assurance automobile</t>
  </si>
  <si>
    <t>Médecins conseils accréditation</t>
  </si>
  <si>
    <t>Point de contact nat soins internationales</t>
  </si>
  <si>
    <t>Dotation AFMPS</t>
  </si>
  <si>
    <t>Indexation fonds blouses blanches</t>
  </si>
  <si>
    <t>SPF Santé Public - Loi hôpitaux</t>
  </si>
  <si>
    <t>Hôpitaux - 22,77% prix journée</t>
  </si>
  <si>
    <t>Supression lits</t>
  </si>
  <si>
    <t>Détenus</t>
  </si>
  <si>
    <t>Conventions Internationales</t>
  </si>
  <si>
    <t>Frais supplémentaires Office de Tarification</t>
  </si>
  <si>
    <t>Frais d'assignations</t>
  </si>
  <si>
    <t>Prestations non recouvrables</t>
  </si>
  <si>
    <t>Réduction cotisation chiffre d'affaires</t>
  </si>
  <si>
    <t>Rééducation (OA)</t>
  </si>
  <si>
    <t>Projet IPS</t>
  </si>
  <si>
    <t>Accord cadre Flandre</t>
  </si>
  <si>
    <t>Accord cadre Bruxelles</t>
  </si>
  <si>
    <t>Accord cadre Wallonie</t>
  </si>
  <si>
    <t>Accord cadre Germanophones</t>
  </si>
  <si>
    <t>Financement variable accords cadres</t>
  </si>
  <si>
    <t>Maintien / efficiences des soins</t>
  </si>
  <si>
    <t>BeNeLuxA - Scanning Horizon</t>
  </si>
  <si>
    <t>Moyens supp pact avenir</t>
  </si>
  <si>
    <t>Accord protocol dépenses communautés</t>
  </si>
  <si>
    <t>Transfert hors objectif</t>
  </si>
  <si>
    <t>Montant non-affectable</t>
  </si>
  <si>
    <t>Plan de relance</t>
  </si>
  <si>
    <t>Autres montants non-affectables</t>
  </si>
  <si>
    <t>Corrections techniques</t>
  </si>
  <si>
    <t>Prime reprise du travail</t>
  </si>
  <si>
    <t>Dépenses Communauté Flamande</t>
  </si>
  <si>
    <t>Dépenses Communauté Francophone</t>
  </si>
  <si>
    <t>Dépenses Région bruxelloise</t>
  </si>
  <si>
    <t>Dépenses Communauté Germanophone</t>
  </si>
  <si>
    <t>SOUS-TOTAL DEPENSES</t>
  </si>
  <si>
    <t>Dotation FAM</t>
  </si>
  <si>
    <t>TOTAL DEPENSES</t>
  </si>
  <si>
    <t>RESULTAT DE L'ANNEE</t>
  </si>
  <si>
    <t>Begroting ZIV - dienstjaar 2024 - 2de herziening</t>
  </si>
  <si>
    <t>Budget AMI - exercice 2024 - 2de herziening</t>
  </si>
  <si>
    <t>en milliers d'€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</si>
</sst>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3" fillId="0" borderId="1" xfId="1" applyNumberFormat="1" applyFont="1" applyBorder="1" applyAlignment="1">
      <alignment horizontal="centerContinuous" vertical="center"/>
    </xf>
    <xf numFmtId="164" fontId="3" fillId="0" borderId="2" xfId="1" applyNumberFormat="1" applyFont="1" applyFill="1" applyBorder="1" applyAlignment="1">
      <alignment horizontal="centerContinuous" vertical="center"/>
    </xf>
    <xf numFmtId="164" fontId="4" fillId="0" borderId="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 wrapText="1"/>
    </xf>
    <xf numFmtId="164" fontId="0" fillId="0" borderId="5" xfId="1" applyNumberFormat="1" applyFont="1" applyFill="1" applyBorder="1" applyAlignment="1">
      <alignment horizontal="center" vertical="center" wrapText="1"/>
    </xf>
    <xf numFmtId="164" fontId="0" fillId="0" borderId="6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11" xfId="1" applyNumberFormat="1" applyFont="1" applyFill="1" applyBorder="1"/>
    <xf numFmtId="164" fontId="2" fillId="0" borderId="12" xfId="1" applyNumberFormat="1" applyFont="1" applyFill="1" applyBorder="1"/>
    <xf numFmtId="164" fontId="6" fillId="0" borderId="13" xfId="1" applyNumberFormat="1" applyFont="1" applyBorder="1"/>
    <xf numFmtId="164" fontId="1" fillId="0" borderId="14" xfId="1" applyNumberFormat="1" applyFont="1" applyBorder="1"/>
    <xf numFmtId="164" fontId="1" fillId="0" borderId="15" xfId="1" quotePrefix="1" applyNumberFormat="1" applyFont="1" applyFill="1" applyBorder="1"/>
    <xf numFmtId="164" fontId="1" fillId="0" borderId="16" xfId="1" applyNumberFormat="1" applyFont="1" applyFill="1" applyBorder="1"/>
    <xf numFmtId="164" fontId="1" fillId="1" borderId="16" xfId="1" applyNumberFormat="1" applyFont="1" applyFill="1" applyBorder="1"/>
    <xf numFmtId="164" fontId="1" fillId="1" borderId="17" xfId="1" applyNumberFormat="1" applyFont="1" applyFill="1" applyBorder="1"/>
    <xf numFmtId="164" fontId="5" fillId="0" borderId="18" xfId="1" applyNumberFormat="1" applyFont="1" applyBorder="1"/>
    <xf numFmtId="164" fontId="1" fillId="1" borderId="19" xfId="1" applyNumberFormat="1" applyFont="1" applyFill="1" applyBorder="1"/>
    <xf numFmtId="164" fontId="1" fillId="1" borderId="15" xfId="1" applyNumberFormat="1" applyFont="1" applyFill="1" applyBorder="1"/>
    <xf numFmtId="164" fontId="1" fillId="0" borderId="19" xfId="1" applyNumberFormat="1" applyFont="1" applyFill="1" applyBorder="1"/>
    <xf numFmtId="164" fontId="1" fillId="0" borderId="15" xfId="1" quotePrefix="1" applyNumberFormat="1" applyFont="1" applyFill="1" applyBorder="1" applyAlignment="1">
      <alignment horizontal="center"/>
    </xf>
    <xf numFmtId="164" fontId="6" fillId="0" borderId="4" xfId="1" applyNumberFormat="1" applyFont="1" applyBorder="1"/>
    <xf numFmtId="164" fontId="6" fillId="0" borderId="5" xfId="1" applyNumberFormat="1" applyFont="1" applyFill="1" applyBorder="1"/>
    <xf numFmtId="164" fontId="6" fillId="0" borderId="6" xfId="1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Border="1"/>
    <xf numFmtId="164" fontId="6" fillId="0" borderId="9" xfId="1" applyNumberFormat="1" applyFont="1" applyBorder="1"/>
    <xf numFmtId="164" fontId="6" fillId="0" borderId="20" xfId="1" applyNumberFormat="1" applyFont="1" applyBorder="1"/>
    <xf numFmtId="164" fontId="6" fillId="0" borderId="21" xfId="1" applyNumberFormat="1" applyFont="1" applyFill="1" applyBorder="1"/>
    <xf numFmtId="164" fontId="6" fillId="0" borderId="22" xfId="1" applyNumberFormat="1" applyFont="1" applyFill="1" applyBorder="1"/>
    <xf numFmtId="164" fontId="6" fillId="0" borderId="23" xfId="1" applyNumberFormat="1" applyFont="1" applyFill="1" applyBorder="1"/>
    <xf numFmtId="164" fontId="6" fillId="0" borderId="24" xfId="1" applyNumberFormat="1" applyFont="1" applyBorder="1"/>
    <xf numFmtId="164" fontId="1" fillId="0" borderId="15" xfId="1" applyNumberFormat="1" applyFont="1" applyFill="1" applyBorder="1"/>
    <xf numFmtId="164" fontId="1" fillId="0" borderId="16" xfId="1" applyNumberFormat="1" applyFont="1" applyFill="1" applyBorder="1" applyAlignment="1">
      <alignment horizontal="center"/>
    </xf>
    <xf numFmtId="164" fontId="1" fillId="0" borderId="15" xfId="1" applyNumberFormat="1" applyFont="1" applyFill="1" applyBorder="1" applyAlignment="1">
      <alignment horizontal="center"/>
    </xf>
    <xf numFmtId="164" fontId="6" fillId="0" borderId="10" xfId="1" applyNumberFormat="1" applyFont="1" applyFill="1" applyBorder="1"/>
    <xf numFmtId="164" fontId="6" fillId="0" borderId="11" xfId="1" applyNumberFormat="1" applyFont="1" applyFill="1" applyBorder="1"/>
    <xf numFmtId="164" fontId="6" fillId="0" borderId="25" xfId="1" applyNumberFormat="1" applyFont="1" applyFill="1" applyBorder="1"/>
    <xf numFmtId="164" fontId="6" fillId="0" borderId="26" xfId="1" applyNumberFormat="1" applyFont="1" applyFill="1" applyBorder="1"/>
    <xf numFmtId="164" fontId="6" fillId="0" borderId="27" xfId="1" applyNumberFormat="1" applyFont="1" applyFill="1" applyBorder="1"/>
    <xf numFmtId="164" fontId="0" fillId="0" borderId="10" xfId="1" applyNumberFormat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iziv\data\AOD-SGS\DirFin\GestFinBeheer\Thesaurie-Tresorerie\01%20Berekeningen\Begroting\2024%20begroting.xlsx" TargetMode="External"/><Relationship Id="rId1" Type="http://schemas.openxmlformats.org/officeDocument/2006/relationships/externalLinkPath" Target="2024%20begro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5"/>
      <sheetName val="voor nota"/>
      <sheetName val="percentages"/>
      <sheetName val="begroting GV"/>
      <sheetName val="budg obj GV"/>
      <sheetName val="begroting UITK W"/>
      <sheetName val="begroting UITK Z"/>
      <sheetName val="begroting MIJNW"/>
      <sheetName val="begroting FMO"/>
      <sheetName val="Begroting ZIV"/>
      <sheetName val="BO"/>
      <sheetName val="Art 202"/>
      <sheetName val="Vent art 202"/>
      <sheetName val="opvolging art 202"/>
      <sheetName val="Ventilatie VI art 202 "/>
      <sheetName val="HISTORIEKart202begrotingTABEL"/>
      <sheetName val="coefHISTORIEKtabel"/>
      <sheetName val="VoorschotHISTORIEKquery"/>
    </sheetNames>
    <sheetDataSet>
      <sheetData sheetId="0">
        <row r="1">
          <cell r="A1" t="str">
            <v>NL</v>
          </cell>
        </row>
        <row r="2">
          <cell r="A2">
            <v>2024</v>
          </cell>
        </row>
        <row r="3">
          <cell r="C3" t="str">
            <v>Initiële begroting</v>
          </cell>
          <cell r="D3" t="str">
            <v>Budget initiel</v>
          </cell>
          <cell r="G3">
            <v>45265</v>
          </cell>
        </row>
        <row r="4">
          <cell r="C4" t="str">
            <v>1ste herziening</v>
          </cell>
          <cell r="D4" t="str">
            <v>1ière révision</v>
          </cell>
          <cell r="G4">
            <v>45337</v>
          </cell>
        </row>
        <row r="5">
          <cell r="C5" t="str">
            <v>2de herziening</v>
          </cell>
          <cell r="D5" t="str">
            <v>2ième révision</v>
          </cell>
          <cell r="G5">
            <v>45503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2EC8B-6FF7-40B5-8524-80E7189272D8}">
  <dimension ref="A1:G53"/>
  <sheetViews>
    <sheetView workbookViewId="0">
      <selection activeCell="I13" sqref="I13"/>
    </sheetView>
  </sheetViews>
  <sheetFormatPr defaultRowHeight="12.75" x14ac:dyDescent="0.2"/>
  <cols>
    <col min="1" max="1" width="46.5703125" bestFit="1" customWidth="1"/>
    <col min="2" max="7" width="14.7109375" customWidth="1"/>
  </cols>
  <sheetData>
    <row r="1" spans="1:7" ht="20.25" thickTop="1" thickBot="1" x14ac:dyDescent="0.25">
      <c r="A1" s="1" t="str">
        <f ca="1">_xlfn.TEXTJOIN(" ",TRUE,IF(taal="NL","Begroting ZIV - dienstjaar","Budget AMI - exercice"),TEXT(begr_jaar,"0000"),"-",IF(taal="NL",_xlfn.XLOOKUP(MAX([1]Blad5!$G:$G),[1]Blad5!$G:$G,[1]Blad5!$C:$C,"?",0),_xlfn.XLOOKUP(MAX([1]Blad5!$G:$G),[1]Blad5!$G:$G,[1]Blad5!$D:$D,"?",0)))</f>
        <v>Begroting ZIV - dienstjaar 2024 - 2de herziening</v>
      </c>
      <c r="B1" s="2"/>
      <c r="C1" s="2"/>
      <c r="D1" s="2"/>
      <c r="E1" s="2"/>
      <c r="F1" s="2"/>
      <c r="G1" s="3" t="str">
        <f>IF(taal="NL","in duizenden €","en milliers d'€")</f>
        <v>in duizenden €</v>
      </c>
    </row>
    <row r="2" spans="1:7" ht="51.75" thickTop="1" x14ac:dyDescent="0.2">
      <c r="A2" s="4" t="str">
        <f>IF(taal="NL","Ontvangsten","Recettes")</f>
        <v>Ontvangsten</v>
      </c>
      <c r="B2" s="5" t="str">
        <f>IF(taal="NL","Geneeskundige
verzorging","Soins de santé")</f>
        <v>Geneeskundige
verzorging</v>
      </c>
      <c r="C2" s="6" t="str">
        <f>IF(taal="NL","Uitkeringen
alg reg")</f>
        <v>Uitkeringen
alg reg</v>
      </c>
      <c r="D2" s="6" t="str">
        <f>IF(taal="NL","Uitkeringen
Reg zelfst")</f>
        <v>Uitkeringen
Reg zelfst</v>
      </c>
      <c r="E2" s="6" t="str">
        <f>IF(taal="NL","Mijnw")</f>
        <v>Mijnw</v>
      </c>
      <c r="F2" s="7" t="str">
        <f>IF(taal="NL","FMO")</f>
        <v>FMO</v>
      </c>
      <c r="G2" s="8" t="str">
        <f>IF(taal="NL","Totaal")</f>
        <v>Totaal</v>
      </c>
    </row>
    <row r="3" spans="1:7" x14ac:dyDescent="0.2">
      <c r="A3" s="9" t="str">
        <f>IF(taal="NL","Ontvangsten globaal beheer")</f>
        <v>Ontvangsten globaal beheer</v>
      </c>
      <c r="B3" s="10">
        <v>36053606</v>
      </c>
      <c r="C3" s="11">
        <v>13658245</v>
      </c>
      <c r="D3" s="11">
        <v>901519</v>
      </c>
      <c r="E3" s="11">
        <v>541</v>
      </c>
      <c r="F3" s="12">
        <v>0</v>
      </c>
      <c r="G3" s="13">
        <v>50613911</v>
      </c>
    </row>
    <row r="4" spans="1:7" x14ac:dyDescent="0.2">
      <c r="A4" s="14" t="str">
        <f>IF(taal="NL","Globaal beheer §1bis - loontrekkenden")</f>
        <v>Globaal beheer §1bis - loontrekkenden</v>
      </c>
      <c r="B4" s="15">
        <v>25805036</v>
      </c>
      <c r="C4" s="16">
        <v>13658245</v>
      </c>
      <c r="D4" s="17"/>
      <c r="E4" s="16">
        <v>541</v>
      </c>
      <c r="F4" s="18"/>
      <c r="G4" s="19">
        <v>39463822</v>
      </c>
    </row>
    <row r="5" spans="1:7" x14ac:dyDescent="0.2">
      <c r="A5" s="14" t="str">
        <f>IF(taal="NL","Globaal beheer §1bis - zelfstandigen")</f>
        <v>Globaal beheer §1bis - zelfstandigen</v>
      </c>
      <c r="B5" s="15">
        <v>2541988</v>
      </c>
      <c r="C5" s="17"/>
      <c r="D5" s="16">
        <v>901519</v>
      </c>
      <c r="E5" s="17"/>
      <c r="F5" s="20"/>
      <c r="G5" s="19">
        <v>3443507</v>
      </c>
    </row>
    <row r="6" spans="1:7" x14ac:dyDescent="0.2">
      <c r="A6" s="14" t="str">
        <f>IF(taal="NL","Alt financiering 1§quater - loontrekkenden")</f>
        <v>Alt financiering 1§quater - loontrekkenden</v>
      </c>
      <c r="B6" s="15">
        <v>6842142</v>
      </c>
      <c r="C6" s="17"/>
      <c r="D6" s="17"/>
      <c r="E6" s="17"/>
      <c r="F6" s="20"/>
      <c r="G6" s="19">
        <v>6842142</v>
      </c>
    </row>
    <row r="7" spans="1:7" x14ac:dyDescent="0.2">
      <c r="A7" s="14" t="str">
        <f>IF(taal="NL","Alt financiering 1§quater - zelfstandigen")</f>
        <v>Alt financiering 1§quater - zelfstandigen</v>
      </c>
      <c r="B7" s="15">
        <v>674002</v>
      </c>
      <c r="C7" s="17"/>
      <c r="D7" s="17"/>
      <c r="E7" s="17"/>
      <c r="F7" s="20"/>
      <c r="G7" s="19">
        <v>674002</v>
      </c>
    </row>
    <row r="8" spans="1:7" x14ac:dyDescent="0.2">
      <c r="A8" s="14" t="str">
        <f>IF(taal="NL","Overdrachten zelfstandigen - gemengde loopbaan")</f>
        <v>Overdrachten zelfstandigen - gemengde loopbaan</v>
      </c>
      <c r="B8" s="15">
        <v>190438</v>
      </c>
      <c r="C8" s="17"/>
      <c r="D8" s="17"/>
      <c r="E8" s="17"/>
      <c r="F8" s="20"/>
      <c r="G8" s="19">
        <v>190438</v>
      </c>
    </row>
    <row r="9" spans="1:7" x14ac:dyDescent="0.2">
      <c r="A9" s="9" t="str">
        <f>IF(taal="NL","Financiering")</f>
        <v>Financiering</v>
      </c>
      <c r="B9" s="10">
        <v>951437</v>
      </c>
      <c r="C9" s="10">
        <v>0</v>
      </c>
      <c r="D9" s="10">
        <v>0</v>
      </c>
      <c r="E9" s="10">
        <v>0</v>
      </c>
      <c r="F9" s="12">
        <v>0</v>
      </c>
      <c r="G9" s="13">
        <v>951437</v>
      </c>
    </row>
    <row r="10" spans="1:7" x14ac:dyDescent="0.2">
      <c r="A10" s="14" t="str">
        <f>IF(taal="NL","Financiering IBF via globaal beheer loontrekkenden")</f>
        <v>Financiering IBF via globaal beheer loontrekkenden</v>
      </c>
      <c r="B10" s="15">
        <v>139189</v>
      </c>
      <c r="C10" s="17"/>
      <c r="D10" s="17"/>
      <c r="E10" s="17"/>
      <c r="F10" s="20"/>
      <c r="G10" s="19">
        <v>139189</v>
      </c>
    </row>
    <row r="11" spans="1:7" x14ac:dyDescent="0.2">
      <c r="A11" s="14" t="str">
        <f>IF(taal="NL","Financiering zorgpersoneelsfonds BMF")</f>
        <v>Financiering zorgpersoneelsfonds BMF</v>
      </c>
      <c r="B11" s="15">
        <v>346786</v>
      </c>
      <c r="C11" s="17"/>
      <c r="D11" s="17"/>
      <c r="E11" s="17"/>
      <c r="F11" s="20"/>
      <c r="G11" s="19">
        <v>346786</v>
      </c>
    </row>
    <row r="12" spans="1:7" x14ac:dyDescent="0.2">
      <c r="A12" s="14" t="str">
        <f>IF(taal="NL","Dotatie taks op effecten rekening")</f>
        <v>Dotatie taks op effecten rekening</v>
      </c>
      <c r="B12" s="15">
        <v>465462</v>
      </c>
      <c r="C12" s="17"/>
      <c r="D12" s="17"/>
      <c r="E12" s="17"/>
      <c r="F12" s="20"/>
      <c r="G12" s="19">
        <v>465462</v>
      </c>
    </row>
    <row r="13" spans="1:7" x14ac:dyDescent="0.2">
      <c r="A13" s="9" t="str">
        <f>IF(taal="NL","Bijdragen")</f>
        <v>Bijdragen</v>
      </c>
      <c r="B13" s="10">
        <v>1728415</v>
      </c>
      <c r="C13" s="11">
        <v>600</v>
      </c>
      <c r="D13" s="11">
        <v>0</v>
      </c>
      <c r="E13" s="11">
        <v>0</v>
      </c>
      <c r="F13" s="12">
        <v>0</v>
      </c>
      <c r="G13" s="13">
        <v>1729015</v>
      </c>
    </row>
    <row r="14" spans="1:7" x14ac:dyDescent="0.2">
      <c r="A14" s="14" t="str">
        <f>IF(taal="NL","Persoonlijke bijdragen")</f>
        <v>Persoonlijke bijdragen</v>
      </c>
      <c r="B14" s="15">
        <v>10566</v>
      </c>
      <c r="C14" s="16">
        <v>600</v>
      </c>
      <c r="D14" s="17"/>
      <c r="E14" s="17"/>
      <c r="F14" s="20"/>
      <c r="G14" s="19">
        <v>11166</v>
      </c>
    </row>
    <row r="15" spans="1:7" x14ac:dyDescent="0.2">
      <c r="A15" s="14" t="str">
        <f>IF(taal="NL","Bijdragen gepensioneerden")</f>
        <v>Bijdragen gepensioneerden</v>
      </c>
      <c r="B15" s="15">
        <v>1717849</v>
      </c>
      <c r="C15" s="17"/>
      <c r="D15" s="17"/>
      <c r="E15" s="17"/>
      <c r="F15" s="20"/>
      <c r="G15" s="19">
        <v>1717849</v>
      </c>
    </row>
    <row r="16" spans="1:7" x14ac:dyDescent="0.2">
      <c r="A16" s="9" t="str">
        <f>IF(taal="NL","Toegewezen ontvangsten")</f>
        <v>Toegewezen ontvangsten</v>
      </c>
      <c r="B16" s="10">
        <v>1564736</v>
      </c>
      <c r="C16" s="11">
        <v>146263</v>
      </c>
      <c r="D16" s="11">
        <v>24471</v>
      </c>
      <c r="E16" s="11">
        <v>0</v>
      </c>
      <c r="F16" s="12">
        <v>0</v>
      </c>
      <c r="G16" s="13">
        <v>1735470</v>
      </c>
    </row>
    <row r="17" spans="1:7" x14ac:dyDescent="0.2">
      <c r="A17" s="14" t="str">
        <f>IF(taal="NL","Ontvangsten revalidatie")</f>
        <v>Ontvangsten revalidatie</v>
      </c>
      <c r="B17" s="15">
        <v>765367</v>
      </c>
      <c r="C17" s="17"/>
      <c r="D17" s="17"/>
      <c r="E17" s="17"/>
      <c r="F17" s="20"/>
      <c r="G17" s="19">
        <v>765367</v>
      </c>
    </row>
    <row r="18" spans="1:7" x14ac:dyDescent="0.2">
      <c r="A18" s="14" t="str">
        <f>IF(taal="NL","Autoverzekering")</f>
        <v>Autoverzekering</v>
      </c>
      <c r="B18" s="15">
        <v>245784</v>
      </c>
      <c r="C18" s="16">
        <v>146263</v>
      </c>
      <c r="D18" s="16">
        <v>24471</v>
      </c>
      <c r="E18" s="17"/>
      <c r="F18" s="20"/>
      <c r="G18" s="19">
        <v>416518</v>
      </c>
    </row>
    <row r="19" spans="1:7" x14ac:dyDescent="0.2">
      <c r="A19" s="14" t="str">
        <f>IF(taal="NL","Hospitalisatieverzekering")</f>
        <v>Hospitalisatieverzekering</v>
      </c>
      <c r="B19" s="15">
        <v>216500</v>
      </c>
      <c r="C19" s="17"/>
      <c r="D19" s="17"/>
      <c r="E19" s="17"/>
      <c r="F19" s="20"/>
      <c r="G19" s="19">
        <v>216500</v>
      </c>
    </row>
    <row r="20" spans="1:7" x14ac:dyDescent="0.2">
      <c r="A20" s="14" t="str">
        <f>IF(taal="NL","Vergoeding verpakking geneesmiddelen")</f>
        <v>Vergoeding verpakking geneesmiddelen</v>
      </c>
      <c r="B20" s="15">
        <v>4897</v>
      </c>
      <c r="C20" s="17"/>
      <c r="D20" s="17"/>
      <c r="E20" s="17"/>
      <c r="F20" s="20"/>
      <c r="G20" s="19">
        <v>4897</v>
      </c>
    </row>
    <row r="21" spans="1:7" x14ac:dyDescent="0.2">
      <c r="A21" s="14" t="str">
        <f>IF(taal="NL","Heffing zakencijfer farmaceutische producten")</f>
        <v>Heffing zakencijfer farmaceutische producten</v>
      </c>
      <c r="B21" s="15">
        <v>326021</v>
      </c>
      <c r="C21" s="17"/>
      <c r="D21" s="17"/>
      <c r="E21" s="17"/>
      <c r="F21" s="20"/>
      <c r="G21" s="19">
        <v>326021</v>
      </c>
    </row>
    <row r="22" spans="1:7" x14ac:dyDescent="0.2">
      <c r="A22" s="14" t="str">
        <f>IF(taal="NL","Heffing marketing farmaceutische producten")</f>
        <v>Heffing marketing farmaceutische producten</v>
      </c>
      <c r="B22" s="15">
        <v>6167</v>
      </c>
      <c r="C22" s="17"/>
      <c r="D22" s="17"/>
      <c r="E22" s="17"/>
      <c r="F22" s="20"/>
      <c r="G22" s="19">
        <v>6167</v>
      </c>
    </row>
    <row r="23" spans="1:7" x14ac:dyDescent="0.2">
      <c r="A23" s="9" t="str">
        <f>IF(taal="NL","Overdrachten")</f>
        <v>Overdrachten</v>
      </c>
      <c r="B23" s="10">
        <v>0</v>
      </c>
      <c r="C23" s="11">
        <v>0</v>
      </c>
      <c r="D23" s="11">
        <v>0</v>
      </c>
      <c r="E23" s="11">
        <v>10</v>
      </c>
      <c r="F23" s="12">
        <v>0</v>
      </c>
      <c r="G23" s="13">
        <v>10</v>
      </c>
    </row>
    <row r="24" spans="1:7" x14ac:dyDescent="0.2">
      <c r="A24" s="14" t="str">
        <f>IF(taal="NL","RVP - Invaliditeits Pensioen Mijnwerkers")</f>
        <v>RVP - Invaliditeits Pensioen Mijnwerkers</v>
      </c>
      <c r="B24" s="21"/>
      <c r="C24" s="17"/>
      <c r="D24" s="17"/>
      <c r="E24" s="16">
        <v>10</v>
      </c>
      <c r="F24" s="20"/>
      <c r="G24" s="19">
        <v>10</v>
      </c>
    </row>
    <row r="25" spans="1:7" x14ac:dyDescent="0.2">
      <c r="A25" s="9" t="str">
        <f>IF(taal="NL","Opbrengsten van beleggingen")</f>
        <v>Opbrengsten van beleggingen</v>
      </c>
      <c r="B25" s="10">
        <v>1536</v>
      </c>
      <c r="C25" s="11">
        <v>5</v>
      </c>
      <c r="D25" s="11">
        <v>2</v>
      </c>
      <c r="E25" s="11">
        <v>0</v>
      </c>
      <c r="F25" s="12">
        <v>0</v>
      </c>
      <c r="G25" s="13">
        <v>1543</v>
      </c>
    </row>
    <row r="26" spans="1:7" x14ac:dyDescent="0.2">
      <c r="A26" s="14" t="str">
        <f>IF(taal="NL","Intresten op beleggingen VI")</f>
        <v>Intresten op beleggingen VI</v>
      </c>
      <c r="B26" s="15">
        <v>3</v>
      </c>
      <c r="C26" s="16">
        <v>5</v>
      </c>
      <c r="D26" s="16">
        <v>2</v>
      </c>
      <c r="E26" s="17"/>
      <c r="F26" s="20"/>
      <c r="G26" s="19">
        <v>10</v>
      </c>
    </row>
    <row r="27" spans="1:7" x14ac:dyDescent="0.2">
      <c r="A27" s="14" t="str">
        <f>IF(taal="NL","Beleggingen bijdragefondsen")</f>
        <v>Beleggingen bijdragefondsen</v>
      </c>
      <c r="B27" s="15">
        <v>1533</v>
      </c>
      <c r="C27" s="17"/>
      <c r="D27" s="17"/>
      <c r="E27" s="17"/>
      <c r="F27" s="20"/>
      <c r="G27" s="19">
        <v>1533</v>
      </c>
    </row>
    <row r="28" spans="1:7" x14ac:dyDescent="0.2">
      <c r="A28" s="9" t="str">
        <f>IF(taal="NL","Diversen")</f>
        <v>Diversen</v>
      </c>
      <c r="B28" s="10">
        <v>2433700</v>
      </c>
      <c r="C28" s="11">
        <v>17892</v>
      </c>
      <c r="D28" s="11">
        <v>170</v>
      </c>
      <c r="E28" s="11">
        <v>10</v>
      </c>
      <c r="F28" s="12">
        <v>1205</v>
      </c>
      <c r="G28" s="13">
        <v>2452977</v>
      </c>
    </row>
    <row r="29" spans="1:7" x14ac:dyDescent="0.2">
      <c r="A29" s="14" t="str">
        <f>IF(taal="NL","Internationale verdragen")</f>
        <v>Internationale verdragen</v>
      </c>
      <c r="B29" s="15">
        <v>517653</v>
      </c>
      <c r="C29" s="16">
        <v>10000</v>
      </c>
      <c r="D29" s="16">
        <v>120</v>
      </c>
      <c r="E29" s="17"/>
      <c r="F29" s="20"/>
      <c r="G29" s="19">
        <v>527773</v>
      </c>
    </row>
    <row r="30" spans="1:7" x14ac:dyDescent="0.2">
      <c r="A30" s="14" t="str">
        <f>IF(taal="NL","Gerechtelijke intresten")</f>
        <v>Gerechtelijke intresten</v>
      </c>
      <c r="B30" s="15">
        <v>1492</v>
      </c>
      <c r="C30" s="16">
        <v>1500</v>
      </c>
      <c r="D30" s="16">
        <v>50</v>
      </c>
      <c r="E30" s="17"/>
      <c r="F30" s="20"/>
      <c r="G30" s="19">
        <v>3042</v>
      </c>
    </row>
    <row r="31" spans="1:7" x14ac:dyDescent="0.2">
      <c r="A31" s="14" t="str">
        <f>IF(taal="NL","Terugvordering art 157")</f>
        <v>Terugvordering art 157</v>
      </c>
      <c r="B31" s="15">
        <v>12897</v>
      </c>
      <c r="C31" s="17"/>
      <c r="D31" s="17"/>
      <c r="E31" s="17"/>
      <c r="F31" s="20"/>
      <c r="G31" s="19">
        <v>12897</v>
      </c>
    </row>
    <row r="32" spans="1:7" x14ac:dyDescent="0.2">
      <c r="A32" s="14" t="str">
        <f>IF(taal="NL","Terugvordering inval pens mijnwerkers")</f>
        <v>Terugvordering inval pens mijnwerkers</v>
      </c>
      <c r="B32" s="21"/>
      <c r="C32" s="17"/>
      <c r="D32" s="17"/>
      <c r="E32" s="16">
        <v>10</v>
      </c>
      <c r="F32" s="20"/>
      <c r="G32" s="19">
        <v>10</v>
      </c>
    </row>
    <row r="33" spans="1:7" x14ac:dyDescent="0.2">
      <c r="A33" s="14" t="str">
        <f>IF(taal="NL","Overdracht chronische ziekten")</f>
        <v>Overdracht chronische ziekten</v>
      </c>
      <c r="B33" s="21"/>
      <c r="C33" s="16">
        <v>6392</v>
      </c>
      <c r="D33" s="17"/>
      <c r="E33" s="17"/>
      <c r="F33" s="20"/>
      <c r="G33" s="19">
        <v>6392</v>
      </c>
    </row>
    <row r="34" spans="1:7" x14ac:dyDescent="0.2">
      <c r="A34" s="14" t="str">
        <f>IF(taal="NL","Boetes controledienst ziekenfondsen")</f>
        <v>Boetes controledienst ziekenfondsen</v>
      </c>
      <c r="B34" s="15">
        <v>20</v>
      </c>
      <c r="C34" s="17"/>
      <c r="D34" s="17"/>
      <c r="E34" s="17"/>
      <c r="F34" s="20"/>
      <c r="G34" s="19">
        <v>20</v>
      </c>
    </row>
    <row r="35" spans="1:7" x14ac:dyDescent="0.2">
      <c r="A35" s="14" t="str">
        <f>IF(taal="NL","Contracten art 111 geneesmiddelen (oud art 81)")</f>
        <v>Contracten art 111 geneesmiddelen (oud art 81)</v>
      </c>
      <c r="B35" s="15">
        <v>1842235</v>
      </c>
      <c r="C35" s="17"/>
      <c r="D35" s="17"/>
      <c r="E35" s="17"/>
      <c r="F35" s="20"/>
      <c r="G35" s="19">
        <v>1842235</v>
      </c>
    </row>
    <row r="36" spans="1:7" x14ac:dyDescent="0.2">
      <c r="A36" s="14" t="str">
        <f>IF(taal="NL","Protocolakkoord BelRai - financiering gemeenschappen")</f>
        <v>Protocolakkoord BelRai - financiering gemeenschappen</v>
      </c>
      <c r="B36" s="15">
        <v>333</v>
      </c>
      <c r="C36" s="17"/>
      <c r="D36" s="17"/>
      <c r="E36" s="17"/>
      <c r="F36" s="20"/>
      <c r="G36" s="19">
        <v>333</v>
      </c>
    </row>
    <row r="37" spans="1:7" x14ac:dyDescent="0.2">
      <c r="A37" s="14" t="str">
        <f>IF(taal="NL","Europees Relanceplan")</f>
        <v>Europees Relanceplan</v>
      </c>
      <c r="B37" s="15">
        <v>7250</v>
      </c>
      <c r="C37" s="17"/>
      <c r="D37" s="17"/>
      <c r="E37" s="17"/>
      <c r="F37" s="20"/>
      <c r="G37" s="19">
        <v>7250</v>
      </c>
    </row>
    <row r="38" spans="1:7" x14ac:dyDescent="0.2">
      <c r="A38" s="14" t="str">
        <f>IF(taal="NL","Protocolakkoord internationale verdragen")</f>
        <v>Protocolakkoord internationale verdragen</v>
      </c>
      <c r="B38" s="15">
        <v>29700</v>
      </c>
      <c r="C38" s="17"/>
      <c r="D38" s="17"/>
      <c r="E38" s="17"/>
      <c r="F38" s="20"/>
      <c r="G38" s="19">
        <v>29700</v>
      </c>
    </row>
    <row r="39" spans="1:7" x14ac:dyDescent="0.2">
      <c r="A39" s="14" t="str">
        <f>IF(taal="NL","Belgisch herstelplan")</f>
        <v>Belgisch herstelplan</v>
      </c>
      <c r="B39" s="15">
        <v>22120</v>
      </c>
      <c r="C39" s="17"/>
      <c r="D39" s="17"/>
      <c r="E39" s="17"/>
      <c r="F39" s="20"/>
      <c r="G39" s="19">
        <v>22120</v>
      </c>
    </row>
    <row r="40" spans="1:7" x14ac:dyDescent="0.2">
      <c r="A40" s="14" t="str">
        <f>IF(taal="NL","Diverse niet verdeelde ontvangsten")</f>
        <v>Diverse niet verdeelde ontvangsten</v>
      </c>
      <c r="B40" s="21"/>
      <c r="C40" s="17"/>
      <c r="D40" s="17"/>
      <c r="E40" s="17"/>
      <c r="F40" s="22">
        <v>1140</v>
      </c>
      <c r="G40" s="19">
        <v>1140</v>
      </c>
    </row>
    <row r="41" spans="1:7" x14ac:dyDescent="0.2">
      <c r="A41" s="14" t="str">
        <f>IF(taal="NL","Gerechtskosten, terug te betalen door derden")</f>
        <v>Gerechtskosten, terug te betalen door derden</v>
      </c>
      <c r="B41" s="21"/>
      <c r="C41" s="17"/>
      <c r="D41" s="17"/>
      <c r="E41" s="17"/>
      <c r="F41" s="22">
        <v>20</v>
      </c>
      <c r="G41" s="19">
        <v>20</v>
      </c>
    </row>
    <row r="42" spans="1:7" x14ac:dyDescent="0.2">
      <c r="A42" s="14" t="str">
        <f>IF(taal="NL","Recuperaties (FMO)")</f>
        <v>Recuperaties (FMO)</v>
      </c>
      <c r="B42" s="21"/>
      <c r="C42" s="17"/>
      <c r="D42" s="17"/>
      <c r="E42" s="17"/>
      <c r="F42" s="22">
        <v>45</v>
      </c>
      <c r="G42" s="19">
        <v>45</v>
      </c>
    </row>
    <row r="43" spans="1:7" x14ac:dyDescent="0.2">
      <c r="A43" s="14" t="str">
        <f>IF(taal="NL","TNW-fonds")</f>
        <v>TNW-fonds</v>
      </c>
      <c r="B43" s="21"/>
      <c r="C43" s="23" t="s">
        <v>0</v>
      </c>
      <c r="D43" s="17"/>
      <c r="E43" s="17"/>
      <c r="F43" s="20"/>
      <c r="G43" s="19">
        <v>0</v>
      </c>
    </row>
    <row r="44" spans="1:7" x14ac:dyDescent="0.2">
      <c r="A44" s="14" t="s">
        <v>1</v>
      </c>
      <c r="B44" s="23" t="s">
        <v>0</v>
      </c>
      <c r="C44" s="23" t="s">
        <v>0</v>
      </c>
      <c r="D44" s="23" t="s">
        <v>0</v>
      </c>
      <c r="E44" s="17"/>
      <c r="F44" s="20"/>
      <c r="G44" s="19">
        <v>0</v>
      </c>
    </row>
    <row r="45" spans="1:7" x14ac:dyDescent="0.2">
      <c r="A45" s="9" t="str">
        <f>IF(taal="NL","Overgangsperiode staatshervorming")</f>
        <v>Overgangsperiode staatshervorming</v>
      </c>
      <c r="B45" s="10">
        <v>0</v>
      </c>
      <c r="C45" s="11">
        <v>0</v>
      </c>
      <c r="D45" s="11">
        <v>0</v>
      </c>
      <c r="E45" s="11">
        <v>0</v>
      </c>
      <c r="F45" s="12">
        <v>0</v>
      </c>
      <c r="G45" s="13">
        <v>0</v>
      </c>
    </row>
    <row r="46" spans="1:7" x14ac:dyDescent="0.2">
      <c r="A46" s="14" t="str">
        <f>IF(taal="NL","Financiering uitgaven Vlaamse Gemeenschap")</f>
        <v>Financiering uitgaven Vlaamse Gemeenschap</v>
      </c>
      <c r="B46" s="23" t="s">
        <v>0</v>
      </c>
      <c r="C46" s="17"/>
      <c r="D46" s="17"/>
      <c r="E46" s="17"/>
      <c r="F46" s="20"/>
      <c r="G46" s="19">
        <v>0</v>
      </c>
    </row>
    <row r="47" spans="1:7" x14ac:dyDescent="0.2">
      <c r="A47" s="14" t="str">
        <f>IF(taal="NL","Financiering uitgaven Franstalige Gemeenschap")</f>
        <v>Financiering uitgaven Franstalige Gemeenschap</v>
      </c>
      <c r="B47" s="23" t="s">
        <v>0</v>
      </c>
      <c r="C47" s="17"/>
      <c r="D47" s="17"/>
      <c r="E47" s="17"/>
      <c r="F47" s="20"/>
      <c r="G47" s="19">
        <v>0</v>
      </c>
    </row>
    <row r="48" spans="1:7" x14ac:dyDescent="0.2">
      <c r="A48" s="14" t="str">
        <f>IF(taal="NL","Financiering uitgaven Brussels Gewest")</f>
        <v>Financiering uitgaven Brussels Gewest</v>
      </c>
      <c r="B48" s="23" t="s">
        <v>0</v>
      </c>
      <c r="C48" s="17"/>
      <c r="D48" s="17"/>
      <c r="E48" s="17"/>
      <c r="F48" s="20"/>
      <c r="G48" s="19">
        <v>0</v>
      </c>
    </row>
    <row r="49" spans="1:7" ht="13.5" thickBot="1" x14ac:dyDescent="0.25">
      <c r="A49" s="14" t="str">
        <f>IF(taal="NL","Financiering uitgaven Duitstalige Gemeenschap")</f>
        <v>Financiering uitgaven Duitstalige Gemeenschap</v>
      </c>
      <c r="B49" s="23" t="s">
        <v>0</v>
      </c>
      <c r="C49" s="17"/>
      <c r="D49" s="17"/>
      <c r="E49" s="17"/>
      <c r="F49" s="20"/>
      <c r="G49" s="19">
        <v>0</v>
      </c>
    </row>
    <row r="50" spans="1:7" ht="13.5" thickTop="1" x14ac:dyDescent="0.2">
      <c r="A50" s="24" t="str">
        <f>IF(taal="NL","TUSSENTOTAAL ONTVANGSTEN")</f>
        <v>TUSSENTOTAAL ONTVANGSTEN</v>
      </c>
      <c r="B50" s="25">
        <v>42733430</v>
      </c>
      <c r="C50" s="26">
        <v>13823005</v>
      </c>
      <c r="D50" s="26">
        <v>926162</v>
      </c>
      <c r="E50" s="26">
        <v>561</v>
      </c>
      <c r="F50" s="27">
        <v>1205</v>
      </c>
      <c r="G50" s="28">
        <v>57484363</v>
      </c>
    </row>
    <row r="51" spans="1:7" x14ac:dyDescent="0.2">
      <c r="A51" s="29" t="str">
        <f>IF(taal="NL","Interne overdracht (Dotatie FMO)")</f>
        <v>Interne overdracht (Dotatie FMO)</v>
      </c>
      <c r="B51" s="17"/>
      <c r="C51" s="17"/>
      <c r="D51" s="17"/>
      <c r="E51" s="17"/>
      <c r="F51" s="22">
        <v>25315</v>
      </c>
      <c r="G51" s="13">
        <v>25315</v>
      </c>
    </row>
    <row r="52" spans="1:7" ht="13.5" thickBot="1" x14ac:dyDescent="0.25">
      <c r="A52" s="30" t="str">
        <f>IF(taal="NL","TOTAAL ONTVANGSTEN")</f>
        <v>TOTAAL ONTVANGSTEN</v>
      </c>
      <c r="B52" s="31">
        <v>42733430</v>
      </c>
      <c r="C52" s="32">
        <v>13823005</v>
      </c>
      <c r="D52" s="32">
        <v>926162</v>
      </c>
      <c r="E52" s="32">
        <v>561</v>
      </c>
      <c r="F52" s="33">
        <v>26520</v>
      </c>
      <c r="G52" s="34">
        <v>57509678</v>
      </c>
    </row>
    <row r="53" spans="1:7" ht="13.5" thickTop="1" x14ac:dyDescent="0.2"/>
  </sheetData>
  <dataValidations count="1">
    <dataValidation type="list" allowBlank="1" showInputMessage="1" showErrorMessage="1" sqref="G1" xr:uid="{A35B7B10-08E4-4819-808B-E0F5DC321CB4}">
      <formula1>"in duizenden €,in €"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A52ED-1282-428A-9103-9BFFFC2A4D78}">
  <dimension ref="A1:G87"/>
  <sheetViews>
    <sheetView workbookViewId="0">
      <selection activeCell="K18" sqref="K18"/>
    </sheetView>
  </sheetViews>
  <sheetFormatPr defaultRowHeight="12.75" x14ac:dyDescent="0.2"/>
  <cols>
    <col min="1" max="1" width="43.5703125" bestFit="1" customWidth="1"/>
    <col min="2" max="7" width="14.7109375" customWidth="1"/>
  </cols>
  <sheetData>
    <row r="1" spans="1:7" ht="20.25" thickTop="1" thickBot="1" x14ac:dyDescent="0.25">
      <c r="A1" s="1" t="s">
        <v>140</v>
      </c>
      <c r="B1" s="2"/>
      <c r="C1" s="2"/>
      <c r="D1" s="2"/>
      <c r="E1" s="2"/>
      <c r="F1" s="2"/>
      <c r="G1" s="3" t="e">
        <f>#REF!</f>
        <v>#REF!</v>
      </c>
    </row>
    <row r="2" spans="1:7" ht="26.25" thickTop="1" x14ac:dyDescent="0.2">
      <c r="A2" s="4" t="str">
        <f>IF(taal="NL","Uitgaven","Dépenses")</f>
        <v>Uitgaven</v>
      </c>
      <c r="B2" s="5" t="str">
        <f>IF(taal="NL","Geneeskundige
verzorging","Soins de santé")</f>
        <v>Geneeskundige
verzorging</v>
      </c>
      <c r="C2" s="6" t="str">
        <f>IF(taal="NL","Uitkeringen
alg reg")</f>
        <v>Uitkeringen
alg reg</v>
      </c>
      <c r="D2" s="6" t="str">
        <f>IF(taal="NL","Uitkeringen
Reg zelfst")</f>
        <v>Uitkeringen
Reg zelfst</v>
      </c>
      <c r="E2" s="6" t="str">
        <f>IF(taal="NL","Mijnw")</f>
        <v>Mijnw</v>
      </c>
      <c r="F2" s="7" t="str">
        <f>IF(taal="NL","FMO")</f>
        <v>FMO</v>
      </c>
      <c r="G2" s="8" t="str">
        <f>IF(taal="NL","Totaal")</f>
        <v>Totaal</v>
      </c>
    </row>
    <row r="3" spans="1:7" x14ac:dyDescent="0.2">
      <c r="A3" s="9" t="str">
        <f>IF(taal="NL","Prestaties")</f>
        <v>Prestaties</v>
      </c>
      <c r="B3" s="10">
        <v>37824710</v>
      </c>
      <c r="C3" s="11">
        <v>13300142</v>
      </c>
      <c r="D3" s="11">
        <v>894608</v>
      </c>
      <c r="E3" s="11">
        <v>390</v>
      </c>
      <c r="F3" s="12">
        <v>16280</v>
      </c>
      <c r="G3" s="13">
        <v>52036130</v>
      </c>
    </row>
    <row r="4" spans="1:7" x14ac:dyDescent="0.2">
      <c r="A4" s="14" t="str">
        <f>IF(taal="NL","Geneeskundige verstrekkingen")</f>
        <v>Geneeskundige verstrekkingen</v>
      </c>
      <c r="B4" s="15">
        <v>37824710</v>
      </c>
      <c r="C4" s="17"/>
      <c r="D4" s="17"/>
      <c r="E4" s="17"/>
      <c r="F4" s="20"/>
      <c r="G4" s="19">
        <v>37824710</v>
      </c>
    </row>
    <row r="5" spans="1:7" x14ac:dyDescent="0.2">
      <c r="A5" s="14" t="str">
        <f>IF(taal="NL","Primaire arbeidsongeschiktheid")</f>
        <v>Primaire arbeidsongeschiktheid</v>
      </c>
      <c r="B5" s="21"/>
      <c r="C5" s="16">
        <v>2851214</v>
      </c>
      <c r="D5" s="16">
        <v>221938</v>
      </c>
      <c r="E5" s="17"/>
      <c r="F5" s="20"/>
      <c r="G5" s="19">
        <v>3073152</v>
      </c>
    </row>
    <row r="6" spans="1:7" x14ac:dyDescent="0.2">
      <c r="A6" s="14" t="str">
        <f>IF(taal="NL","Moederschaps- en vaderschapsrust")</f>
        <v>Moederschaps- en vaderschapsrust</v>
      </c>
      <c r="B6" s="21"/>
      <c r="C6" s="16">
        <v>893717</v>
      </c>
      <c r="D6" s="16">
        <v>73486</v>
      </c>
      <c r="E6" s="17"/>
      <c r="F6" s="20"/>
      <c r="G6" s="19">
        <v>967203</v>
      </c>
    </row>
    <row r="7" spans="1:7" x14ac:dyDescent="0.2">
      <c r="A7" s="14" t="str">
        <f>IF(taal="NL","Invaliditeit")</f>
        <v>Invaliditeit</v>
      </c>
      <c r="B7" s="21"/>
      <c r="C7" s="16">
        <v>9555211</v>
      </c>
      <c r="D7" s="16">
        <v>599184</v>
      </c>
      <c r="E7" s="17"/>
      <c r="F7" s="20"/>
      <c r="G7" s="19">
        <v>10154395</v>
      </c>
    </row>
    <row r="8" spans="1:7" x14ac:dyDescent="0.2">
      <c r="A8" s="14" t="str">
        <f>IF(taal="NL","Begrafeniskosten")</f>
        <v>Begrafeniskosten</v>
      </c>
      <c r="B8" s="21"/>
      <c r="C8" s="23" t="s">
        <v>0</v>
      </c>
      <c r="D8" s="17"/>
      <c r="E8" s="17"/>
      <c r="F8" s="20"/>
      <c r="G8" s="19">
        <v>0</v>
      </c>
    </row>
    <row r="9" spans="1:7" x14ac:dyDescent="0.2">
      <c r="A9" s="14" t="str">
        <f>IF(taal="NL","Invaliditeitspensioen mijnwerkers")</f>
        <v>Invaliditeitspensioen mijnwerkers</v>
      </c>
      <c r="B9" s="21"/>
      <c r="C9" s="17"/>
      <c r="D9" s="17"/>
      <c r="E9" s="16">
        <v>360</v>
      </c>
      <c r="F9" s="20"/>
      <c r="G9" s="19">
        <v>360</v>
      </c>
    </row>
    <row r="10" spans="1:7" x14ac:dyDescent="0.2">
      <c r="A10" s="14" t="str">
        <f>IF(taal="NL","Vakantiegeld")</f>
        <v>Vakantiegeld</v>
      </c>
      <c r="B10" s="21"/>
      <c r="C10" s="17"/>
      <c r="D10" s="17"/>
      <c r="E10" s="16">
        <v>15</v>
      </c>
      <c r="F10" s="20"/>
      <c r="G10" s="19">
        <v>15</v>
      </c>
    </row>
    <row r="11" spans="1:7" x14ac:dyDescent="0.2">
      <c r="A11" s="14" t="str">
        <f>IF(taal="NL","Verwarmingstoelage")</f>
        <v>Verwarmingstoelage</v>
      </c>
      <c r="B11" s="21"/>
      <c r="C11" s="17"/>
      <c r="D11" s="17"/>
      <c r="E11" s="16">
        <v>15</v>
      </c>
      <c r="F11" s="20"/>
      <c r="G11" s="19">
        <v>15</v>
      </c>
    </row>
    <row r="12" spans="1:7" x14ac:dyDescent="0.2">
      <c r="A12" s="14" t="str">
        <f>IF(taal="NL","Vergoedingen-Rampschadegevallen")</f>
        <v>Vergoedingen-Rampschadegevallen</v>
      </c>
      <c r="B12" s="21"/>
      <c r="C12" s="17"/>
      <c r="D12" s="17"/>
      <c r="E12" s="17"/>
      <c r="F12" s="22">
        <v>14300</v>
      </c>
      <c r="G12" s="19">
        <v>14300</v>
      </c>
    </row>
    <row r="13" spans="1:7" x14ac:dyDescent="0.2">
      <c r="A13" s="14" t="str">
        <f>IF(taal="NL","Tegensprekelijke expertises")</f>
        <v>Tegensprekelijke expertises</v>
      </c>
      <c r="B13" s="21"/>
      <c r="C13" s="17"/>
      <c r="D13" s="17"/>
      <c r="E13" s="17"/>
      <c r="F13" s="22">
        <v>1980</v>
      </c>
      <c r="G13" s="19">
        <v>1980</v>
      </c>
    </row>
    <row r="14" spans="1:7" x14ac:dyDescent="0.2">
      <c r="A14" s="9" t="str">
        <f>IF(taal="NL","Administratie kosten VI")</f>
        <v>Administratie kosten VI</v>
      </c>
      <c r="B14" s="10">
        <v>998904</v>
      </c>
      <c r="C14" s="10">
        <v>362806</v>
      </c>
      <c r="D14" s="10">
        <v>24300</v>
      </c>
      <c r="E14" s="10">
        <v>0</v>
      </c>
      <c r="F14" s="12">
        <v>0</v>
      </c>
      <c r="G14" s="13">
        <v>1386010</v>
      </c>
    </row>
    <row r="15" spans="1:7" x14ac:dyDescent="0.2">
      <c r="A15" s="14" t="str">
        <f>IF(taal="NL","Forfait administratiekosten  5 VI")</f>
        <v>Forfait administratiekosten  5 VI</v>
      </c>
      <c r="B15" s="15">
        <v>939499</v>
      </c>
      <c r="C15" s="16">
        <v>0</v>
      </c>
      <c r="D15" s="16">
        <v>0</v>
      </c>
      <c r="E15" s="17"/>
      <c r="F15" s="20"/>
      <c r="G15" s="19">
        <v>939499</v>
      </c>
    </row>
    <row r="16" spans="1:7" x14ac:dyDescent="0.2">
      <c r="A16" s="14" t="str">
        <f>IF(taal="NL","Globaal bedrag AK 5 VI")</f>
        <v>Globaal bedrag AK 5 VI</v>
      </c>
      <c r="B16" s="21"/>
      <c r="C16" s="16">
        <v>328836</v>
      </c>
      <c r="D16" s="16">
        <v>22090</v>
      </c>
      <c r="E16" s="17"/>
      <c r="F16" s="20"/>
      <c r="G16" s="19">
        <v>350926</v>
      </c>
    </row>
    <row r="17" spans="1:7" x14ac:dyDescent="0.2">
      <c r="A17" s="14" t="str">
        <f>IF(taal="NL","Provisionele inhouding AK 5 VI")</f>
        <v>Provisionele inhouding AK 5 VI</v>
      </c>
      <c r="B17" s="21"/>
      <c r="C17" s="16">
        <v>6022</v>
      </c>
      <c r="D17" s="16">
        <v>405</v>
      </c>
      <c r="E17" s="17"/>
      <c r="F17" s="20"/>
      <c r="G17" s="19">
        <v>6427</v>
      </c>
    </row>
    <row r="18" spans="1:7" x14ac:dyDescent="0.2">
      <c r="A18" s="14" t="str">
        <f>IF(taal="NL","Forfait administratiekosten KGV HR Rail")</f>
        <v>Forfait administratiekosten KGV HR Rail</v>
      </c>
      <c r="B18" s="15">
        <v>22804</v>
      </c>
      <c r="C18" s="17"/>
      <c r="D18" s="17"/>
      <c r="E18" s="17"/>
      <c r="F18" s="20"/>
      <c r="G18" s="19">
        <v>22804</v>
      </c>
    </row>
    <row r="19" spans="1:7" x14ac:dyDescent="0.2">
      <c r="A19" s="14" t="str">
        <f>IF(taal="NL","Administratiekosten HZIV")</f>
        <v>Administratiekosten HZIV</v>
      </c>
      <c r="B19" s="15">
        <v>24918</v>
      </c>
      <c r="C19" s="16">
        <v>8240</v>
      </c>
      <c r="D19" s="16">
        <v>488</v>
      </c>
      <c r="E19" s="17"/>
      <c r="F19" s="20"/>
      <c r="G19" s="19">
        <v>33646</v>
      </c>
    </row>
    <row r="20" spans="1:7" x14ac:dyDescent="0.2">
      <c r="A20" s="14" t="str">
        <f>IF(taal="NL","20% intresten op beleggingen en boni's")</f>
        <v>20% intresten op beleggingen en boni's</v>
      </c>
      <c r="B20" s="15">
        <v>0</v>
      </c>
      <c r="C20" s="16">
        <v>5</v>
      </c>
      <c r="D20" s="16">
        <v>1</v>
      </c>
      <c r="E20" s="17"/>
      <c r="F20" s="20"/>
      <c r="G20" s="19">
        <v>6</v>
      </c>
    </row>
    <row r="21" spans="1:7" x14ac:dyDescent="0.2">
      <c r="A21" s="14" t="str">
        <f>IF(taal="NL","% op terugvorderingen")</f>
        <v>% op terugvorderingen</v>
      </c>
      <c r="B21" s="15">
        <v>10150</v>
      </c>
      <c r="C21" s="16">
        <v>11979</v>
      </c>
      <c r="D21" s="16">
        <v>532</v>
      </c>
      <c r="E21" s="17"/>
      <c r="F21" s="20"/>
      <c r="G21" s="19">
        <v>22661</v>
      </c>
    </row>
    <row r="22" spans="1:7" x14ac:dyDescent="0.2">
      <c r="A22" s="14" t="str">
        <f>IF(taal="NL","Interesten bijdragen")</f>
        <v>Interesten bijdragen</v>
      </c>
      <c r="B22" s="15">
        <v>1533</v>
      </c>
      <c r="C22" s="17"/>
      <c r="D22" s="17"/>
      <c r="E22" s="17"/>
      <c r="F22" s="20"/>
      <c r="G22" s="19">
        <v>1533</v>
      </c>
    </row>
    <row r="23" spans="1:7" x14ac:dyDescent="0.2">
      <c r="A23" s="14" t="str">
        <f>IF(taal="NL","Re-integratie TNW")</f>
        <v>Re-integratie TNW</v>
      </c>
      <c r="B23" s="21"/>
      <c r="C23" s="16">
        <v>7724</v>
      </c>
      <c r="D23" s="16">
        <v>784</v>
      </c>
      <c r="E23" s="17"/>
      <c r="F23" s="20"/>
      <c r="G23" s="19">
        <v>8508</v>
      </c>
    </row>
    <row r="24" spans="1:7" x14ac:dyDescent="0.2">
      <c r="A24" s="9" t="str">
        <f>IF(taal="NL","Lasten Riziv")</f>
        <v>Lasten Riziv</v>
      </c>
      <c r="B24" s="10">
        <v>1000548</v>
      </c>
      <c r="C24" s="11">
        <v>39278</v>
      </c>
      <c r="D24" s="11">
        <v>2672</v>
      </c>
      <c r="E24" s="11">
        <v>170</v>
      </c>
      <c r="F24" s="12">
        <v>10240</v>
      </c>
      <c r="G24" s="13">
        <v>1052908</v>
      </c>
    </row>
    <row r="25" spans="1:7" x14ac:dyDescent="0.2">
      <c r="A25" s="14" t="str">
        <f>IF(taal="NL","Beheerskosten RIZIV")</f>
        <v>Beheerskosten RIZIV</v>
      </c>
      <c r="B25" s="15">
        <v>118171</v>
      </c>
      <c r="C25" s="16">
        <v>36190</v>
      </c>
      <c r="D25" s="16">
        <v>2173</v>
      </c>
      <c r="E25" s="16">
        <v>170</v>
      </c>
      <c r="F25" s="22">
        <v>8590</v>
      </c>
      <c r="G25" s="19">
        <v>165294</v>
      </c>
    </row>
    <row r="26" spans="1:7" x14ac:dyDescent="0.2">
      <c r="A26" s="14" t="str">
        <f>IF(taal="NL","Opdrachtenkosten RIZIV ")</f>
        <v xml:space="preserve">Opdrachtenkosten RIZIV </v>
      </c>
      <c r="B26" s="15">
        <v>1296</v>
      </c>
      <c r="C26" s="16">
        <v>534</v>
      </c>
      <c r="D26" s="16">
        <v>53</v>
      </c>
      <c r="E26" s="17"/>
      <c r="F26" s="22">
        <v>0</v>
      </c>
      <c r="G26" s="19">
        <v>1883</v>
      </c>
    </row>
    <row r="27" spans="1:7" x14ac:dyDescent="0.2">
      <c r="A27" s="14" t="str">
        <f>IF(taal="NL","FMO - Betwiste zaken ")</f>
        <v xml:space="preserve">FMO - Betwiste zaken </v>
      </c>
      <c r="B27" s="21"/>
      <c r="C27" s="17"/>
      <c r="D27" s="17"/>
      <c r="E27" s="17"/>
      <c r="F27" s="22">
        <v>1350</v>
      </c>
      <c r="G27" s="19">
        <v>1350</v>
      </c>
    </row>
    <row r="28" spans="1:7" x14ac:dyDescent="0.2">
      <c r="A28" s="14" t="str">
        <f>IF(taal="NL","FMO - Honoraria andere dan voor betwiste zaken")</f>
        <v>FMO - Honoraria andere dan voor betwiste zaken</v>
      </c>
      <c r="B28" s="21"/>
      <c r="C28" s="17"/>
      <c r="D28" s="17"/>
      <c r="E28" s="17"/>
      <c r="F28" s="22">
        <v>300</v>
      </c>
      <c r="G28" s="19">
        <v>300</v>
      </c>
    </row>
    <row r="29" spans="1:7" x14ac:dyDescent="0.2">
      <c r="A29" s="14" t="s">
        <v>58</v>
      </c>
      <c r="B29" s="15">
        <v>6594</v>
      </c>
      <c r="C29" s="17"/>
      <c r="D29" s="17"/>
      <c r="E29" s="17"/>
      <c r="F29" s="20"/>
      <c r="G29" s="19">
        <v>6594</v>
      </c>
    </row>
    <row r="30" spans="1:7" x14ac:dyDescent="0.2">
      <c r="A30" s="14" t="str">
        <f>IF(taal="NL","Sociaal statuut")</f>
        <v>Sociaal statuut</v>
      </c>
      <c r="B30" s="15">
        <v>313887</v>
      </c>
      <c r="C30" s="17"/>
      <c r="D30" s="17"/>
      <c r="E30" s="17"/>
      <c r="F30" s="20"/>
      <c r="G30" s="19">
        <v>313887</v>
      </c>
    </row>
    <row r="31" spans="1:7" x14ac:dyDescent="0.2">
      <c r="A31" s="14" t="str">
        <f>IF(taal="NL","Stagemeesters")</f>
        <v>Stagemeesters</v>
      </c>
      <c r="B31" s="15">
        <v>137917</v>
      </c>
      <c r="C31" s="17"/>
      <c r="D31" s="17"/>
      <c r="E31" s="17"/>
      <c r="F31" s="20"/>
      <c r="G31" s="19">
        <v>137917</v>
      </c>
    </row>
    <row r="32" spans="1:7" x14ac:dyDescent="0.2">
      <c r="A32" s="14" t="str">
        <f>IF(taal="NL","Artikel 56 - 22")</f>
        <v>Artikel 56 - 22</v>
      </c>
      <c r="B32" s="15">
        <v>87867</v>
      </c>
      <c r="C32" s="17"/>
      <c r="D32" s="17"/>
      <c r="E32" s="17"/>
      <c r="F32" s="20"/>
      <c r="G32" s="19">
        <v>87867</v>
      </c>
    </row>
    <row r="33" spans="1:7" x14ac:dyDescent="0.2">
      <c r="A33" s="14" t="s">
        <v>59</v>
      </c>
      <c r="B33" s="15">
        <v>1665</v>
      </c>
      <c r="C33" s="17"/>
      <c r="D33" s="17"/>
      <c r="E33" s="17"/>
      <c r="F33" s="20"/>
      <c r="G33" s="19">
        <v>1665</v>
      </c>
    </row>
    <row r="34" spans="1:7" x14ac:dyDescent="0.2">
      <c r="A34" s="14" t="str">
        <f>IF(taal="NL","Overdracht kenniscentrum")</f>
        <v>Overdracht kenniscentrum</v>
      </c>
      <c r="B34" s="15">
        <v>21709</v>
      </c>
      <c r="C34" s="16">
        <v>2554</v>
      </c>
      <c r="D34" s="16">
        <v>446</v>
      </c>
      <c r="E34" s="17"/>
      <c r="F34" s="20"/>
      <c r="G34" s="19">
        <v>24709</v>
      </c>
    </row>
    <row r="35" spans="1:7" x14ac:dyDescent="0.2">
      <c r="A35" s="14" t="str">
        <f>IF(taal="NL","Sociaal akkoord")</f>
        <v>Sociaal akkoord</v>
      </c>
      <c r="B35" s="15">
        <v>177612</v>
      </c>
      <c r="C35" s="17"/>
      <c r="D35" s="17"/>
      <c r="E35" s="17"/>
      <c r="F35" s="20"/>
      <c r="G35" s="19">
        <v>177612</v>
      </c>
    </row>
    <row r="36" spans="1:7" x14ac:dyDescent="0.2">
      <c r="A36" s="14" t="str">
        <f>IF(taal="NL","IMA - steekproef")</f>
        <v>IMA - steekproef</v>
      </c>
      <c r="B36" s="15">
        <v>169</v>
      </c>
      <c r="C36" s="17"/>
      <c r="D36" s="17"/>
      <c r="E36" s="17"/>
      <c r="F36" s="20"/>
      <c r="G36" s="19">
        <v>169</v>
      </c>
    </row>
    <row r="37" spans="1:7" x14ac:dyDescent="0.2">
      <c r="A37" s="14" t="str">
        <f>IF(taal="NL","E-gezondheid")</f>
        <v>E-gezondheid</v>
      </c>
      <c r="B37" s="15">
        <v>103808</v>
      </c>
      <c r="C37" s="17"/>
      <c r="D37" s="17"/>
      <c r="E37" s="17"/>
      <c r="F37" s="20"/>
      <c r="G37" s="19">
        <v>103808</v>
      </c>
    </row>
    <row r="38" spans="1:7" x14ac:dyDescent="0.2">
      <c r="A38" s="14" t="str">
        <f>IF(taal="NL","Dotatie E-health")</f>
        <v>Dotatie E-health</v>
      </c>
      <c r="B38" s="15">
        <v>18764</v>
      </c>
      <c r="C38" s="17"/>
      <c r="D38" s="17"/>
      <c r="E38" s="17"/>
      <c r="F38" s="20"/>
      <c r="G38" s="19">
        <v>18764</v>
      </c>
    </row>
    <row r="39" spans="1:7" x14ac:dyDescent="0.2">
      <c r="A39" s="14" t="str">
        <f>IF(taal="NL","DOSZ - gepensioneerde zeevarenden")</f>
        <v>DOSZ - gepensioneerde zeevarenden</v>
      </c>
      <c r="B39" s="15">
        <v>683</v>
      </c>
      <c r="C39" s="17"/>
      <c r="D39" s="17"/>
      <c r="E39" s="17"/>
      <c r="F39" s="20"/>
      <c r="G39" s="19">
        <v>683</v>
      </c>
    </row>
    <row r="40" spans="1:7" x14ac:dyDescent="0.2">
      <c r="A40" s="14" t="str">
        <f>IF(taal="NL","Patientenvereniging")</f>
        <v>Patientenvereniging</v>
      </c>
      <c r="B40" s="15">
        <v>2526</v>
      </c>
      <c r="C40" s="17"/>
      <c r="D40" s="17"/>
      <c r="E40" s="17"/>
      <c r="F40" s="20"/>
      <c r="G40" s="19">
        <v>2526</v>
      </c>
    </row>
    <row r="41" spans="1:7" x14ac:dyDescent="0.2">
      <c r="A41" s="14" t="str">
        <f>IF(taal="NL","Kas der zeelieden - Autoverzekering")</f>
        <v>Kas der zeelieden - Autoverzekering</v>
      </c>
      <c r="B41" s="15">
        <v>98</v>
      </c>
      <c r="C41" s="17"/>
      <c r="D41" s="17"/>
      <c r="E41" s="17"/>
      <c r="F41" s="20"/>
      <c r="G41" s="19">
        <v>98</v>
      </c>
    </row>
    <row r="42" spans="1:7" x14ac:dyDescent="0.2">
      <c r="A42" s="14" t="str">
        <f>IF(taal="NL","Adviserend artsen accreditering")</f>
        <v>Adviserend artsen accreditering</v>
      </c>
      <c r="B42" s="15">
        <v>1077</v>
      </c>
      <c r="C42" s="17"/>
      <c r="D42" s="17"/>
      <c r="E42" s="17"/>
      <c r="F42" s="20"/>
      <c r="G42" s="19">
        <v>1077</v>
      </c>
    </row>
    <row r="43" spans="1:7" x14ac:dyDescent="0.2">
      <c r="A43" s="14" t="str">
        <f>IF(taal="NL","Nat. kontaktpunt internationale gezondheidszorg")</f>
        <v>Nat. kontaktpunt internationale gezondheidszorg</v>
      </c>
      <c r="B43" s="15">
        <v>10</v>
      </c>
      <c r="C43" s="17"/>
      <c r="D43" s="17"/>
      <c r="E43" s="17"/>
      <c r="F43" s="20"/>
      <c r="G43" s="19">
        <v>10</v>
      </c>
    </row>
    <row r="44" spans="1:7" x14ac:dyDescent="0.2">
      <c r="A44" s="14" t="str">
        <f>IF(taal="NL","Dotatie FAGG")</f>
        <v>Dotatie FAGG</v>
      </c>
      <c r="B44" s="15">
        <v>3354</v>
      </c>
      <c r="C44" s="17"/>
      <c r="D44" s="17"/>
      <c r="E44" s="17"/>
      <c r="F44" s="20"/>
      <c r="G44" s="19">
        <v>3354</v>
      </c>
    </row>
    <row r="45" spans="1:7" x14ac:dyDescent="0.2">
      <c r="A45" s="14" t="str">
        <f>IF(taal="NL","Indexering zorgpersoneelsfonds")</f>
        <v>Indexering zorgpersoneelsfonds</v>
      </c>
      <c r="B45" s="15">
        <v>3341</v>
      </c>
      <c r="C45" s="17"/>
      <c r="D45" s="17"/>
      <c r="E45" s="17"/>
      <c r="F45" s="20"/>
      <c r="G45" s="19">
        <v>3341</v>
      </c>
    </row>
    <row r="46" spans="1:7" x14ac:dyDescent="0.2">
      <c r="A46" s="9" t="str">
        <f>IF(taal="NL","FOD Volksgezondheid - Wet ziekenhuizen")</f>
        <v>FOD Volksgezondheid - Wet ziekenhuizen</v>
      </c>
      <c r="B46" s="10">
        <v>2590482</v>
      </c>
      <c r="C46" s="11">
        <v>0</v>
      </c>
      <c r="D46" s="11">
        <v>0</v>
      </c>
      <c r="E46" s="11">
        <v>0</v>
      </c>
      <c r="F46" s="12">
        <v>0</v>
      </c>
      <c r="G46" s="13">
        <v>2590482</v>
      </c>
    </row>
    <row r="47" spans="1:7" x14ac:dyDescent="0.2">
      <c r="A47" s="14" t="str">
        <f>IF(taal="NL","Ziekenhuizen - 22,77% ligdagprijs")</f>
        <v>Ziekenhuizen - 22,77% ligdagprijs</v>
      </c>
      <c r="B47" s="15">
        <v>2583482</v>
      </c>
      <c r="C47" s="17"/>
      <c r="D47" s="17"/>
      <c r="E47" s="17"/>
      <c r="F47" s="20"/>
      <c r="G47" s="19">
        <v>2583482</v>
      </c>
    </row>
    <row r="48" spans="1:7" x14ac:dyDescent="0.2">
      <c r="A48" s="14" t="str">
        <f>IF(taal="NL","Sluiting bedden")</f>
        <v>Sluiting bedden</v>
      </c>
      <c r="B48" s="15">
        <v>7000</v>
      </c>
      <c r="C48" s="17"/>
      <c r="D48" s="17"/>
      <c r="E48" s="17"/>
      <c r="F48" s="20"/>
      <c r="G48" s="19">
        <v>7000</v>
      </c>
    </row>
    <row r="49" spans="1:7" x14ac:dyDescent="0.2">
      <c r="A49" s="14" t="str">
        <f>IF(taal="NL","Gedetineerden")</f>
        <v>Gedetineerden</v>
      </c>
      <c r="B49" s="15">
        <v>0</v>
      </c>
      <c r="C49" s="17"/>
      <c r="D49" s="17"/>
      <c r="E49" s="17"/>
      <c r="F49" s="20"/>
      <c r="G49" s="19">
        <v>0</v>
      </c>
    </row>
    <row r="50" spans="1:7" x14ac:dyDescent="0.2">
      <c r="A50" s="9" t="str">
        <f>IF(taal="NL","Overdrachten")</f>
        <v>Overdrachten</v>
      </c>
      <c r="B50" s="10">
        <v>0</v>
      </c>
      <c r="C50" s="11">
        <v>0</v>
      </c>
      <c r="D50" s="11">
        <v>0</v>
      </c>
      <c r="E50" s="11">
        <v>0</v>
      </c>
      <c r="F50" s="12">
        <v>0</v>
      </c>
      <c r="G50" s="13">
        <v>0</v>
      </c>
    </row>
    <row r="51" spans="1:7" x14ac:dyDescent="0.2">
      <c r="A51" s="14" t="str">
        <f>IF(taal="NL","RVP - Inval. Pens. Mijnwerkers")</f>
        <v>RVP - Inval. Pens. Mijnwerkers</v>
      </c>
      <c r="B51" s="21"/>
      <c r="C51" s="17"/>
      <c r="D51" s="17"/>
      <c r="E51" s="23" t="s">
        <v>0</v>
      </c>
      <c r="F51" s="20"/>
      <c r="G51" s="19">
        <v>0</v>
      </c>
    </row>
    <row r="52" spans="1:7" x14ac:dyDescent="0.2">
      <c r="A52" s="9" t="str">
        <f>IF(taal="NL","Diversen")</f>
        <v>Diversen</v>
      </c>
      <c r="B52" s="10">
        <v>300644</v>
      </c>
      <c r="C52" s="11">
        <v>120779</v>
      </c>
      <c r="D52" s="11">
        <v>4582</v>
      </c>
      <c r="E52" s="11">
        <v>1</v>
      </c>
      <c r="F52" s="12">
        <v>0</v>
      </c>
      <c r="G52" s="13">
        <v>426006</v>
      </c>
    </row>
    <row r="53" spans="1:7" x14ac:dyDescent="0.2">
      <c r="A53" s="14" t="str">
        <f>IF(taal="NL","Internationale Verdragen")</f>
        <v>Internationale Verdragen</v>
      </c>
      <c r="B53" s="15">
        <v>956280</v>
      </c>
      <c r="C53" s="16">
        <v>1100</v>
      </c>
      <c r="D53" s="16">
        <v>40</v>
      </c>
      <c r="E53" s="17"/>
      <c r="F53" s="20"/>
      <c r="G53" s="19">
        <v>957420</v>
      </c>
    </row>
    <row r="54" spans="1:7" x14ac:dyDescent="0.2">
      <c r="A54" s="14" t="str">
        <f>IF(taal="NL","Gerechtelijke intresten")</f>
        <v>Gerechtelijke intresten</v>
      </c>
      <c r="B54" s="15">
        <v>7</v>
      </c>
      <c r="C54" s="16">
        <v>500</v>
      </c>
      <c r="D54" s="16">
        <v>30</v>
      </c>
      <c r="E54" s="17"/>
      <c r="F54" s="20"/>
      <c r="G54" s="19">
        <v>537</v>
      </c>
    </row>
    <row r="55" spans="1:7" x14ac:dyDescent="0.2">
      <c r="A55" s="14" t="str">
        <f>IF(taal="NL","Verhoogde kosten tarificatiediensten")</f>
        <v>Verhoogde kosten tarificatiediensten</v>
      </c>
      <c r="B55" s="15">
        <v>5662</v>
      </c>
      <c r="C55" s="17"/>
      <c r="D55" s="17"/>
      <c r="E55" s="17"/>
      <c r="F55" s="20"/>
      <c r="G55" s="19">
        <v>5662</v>
      </c>
    </row>
    <row r="56" spans="1:7" x14ac:dyDescent="0.2">
      <c r="A56" s="14" t="str">
        <f>IF(taal="NL","Assignatiekosten")</f>
        <v>Assignatiekosten</v>
      </c>
      <c r="B56" s="21"/>
      <c r="C56" s="17"/>
      <c r="D56" s="17"/>
      <c r="E56" s="16">
        <v>0</v>
      </c>
      <c r="F56" s="20"/>
      <c r="G56" s="19">
        <v>0</v>
      </c>
    </row>
    <row r="57" spans="1:7" x14ac:dyDescent="0.2">
      <c r="A57" s="14" t="str">
        <f>IF(taal="NL","Oninvorderbare prestaties")</f>
        <v>Oninvorderbare prestaties</v>
      </c>
      <c r="B57" s="21"/>
      <c r="C57" s="17"/>
      <c r="D57" s="17"/>
      <c r="E57" s="16">
        <v>1</v>
      </c>
      <c r="F57" s="20"/>
      <c r="G57" s="19">
        <v>1</v>
      </c>
    </row>
    <row r="58" spans="1:7" x14ac:dyDescent="0.2">
      <c r="A58" s="14" t="str">
        <f>IF(taal="NL","Vermindering heffing zakencijfer farmaceut. prod.")</f>
        <v>Vermindering heffing zakencijfer farmaceut. prod.</v>
      </c>
      <c r="B58" s="15">
        <v>35000</v>
      </c>
      <c r="C58" s="17"/>
      <c r="D58" s="17"/>
      <c r="E58" s="17"/>
      <c r="F58" s="20"/>
      <c r="G58" s="19">
        <v>35000</v>
      </c>
    </row>
    <row r="59" spans="1:7" x14ac:dyDescent="0.2">
      <c r="A59" s="14" t="str">
        <f>IF(taal="NL","Herscholing (VI)")</f>
        <v>Herscholing (VI)</v>
      </c>
      <c r="B59" s="21"/>
      <c r="C59" s="16">
        <v>8083</v>
      </c>
      <c r="D59" s="16">
        <v>337</v>
      </c>
      <c r="E59" s="17"/>
      <c r="F59" s="20"/>
      <c r="G59" s="19">
        <v>8420</v>
      </c>
    </row>
    <row r="60" spans="1:7" x14ac:dyDescent="0.2">
      <c r="A60" s="14" t="str">
        <f>IF(taal="NL","Project IPS")</f>
        <v>Project IPS</v>
      </c>
      <c r="B60" s="21"/>
      <c r="C60" s="16">
        <v>876</v>
      </c>
      <c r="D60" s="16">
        <v>36</v>
      </c>
      <c r="E60" s="17"/>
      <c r="F60" s="20"/>
      <c r="G60" s="19">
        <v>912</v>
      </c>
    </row>
    <row r="61" spans="1:7" x14ac:dyDescent="0.2">
      <c r="A61" s="14" t="str">
        <f>IF(taal="NL","Raamovereekomst Vlaanderen")</f>
        <v>Raamovereekomst Vlaanderen</v>
      </c>
      <c r="B61" s="21"/>
      <c r="C61" s="16">
        <v>23040</v>
      </c>
      <c r="D61" s="16">
        <v>960</v>
      </c>
      <c r="E61" s="17"/>
      <c r="F61" s="20"/>
      <c r="G61" s="19">
        <v>24000</v>
      </c>
    </row>
    <row r="62" spans="1:7" x14ac:dyDescent="0.2">
      <c r="A62" s="14" t="str">
        <f>IF(taal="NL","Raamovereenkomst Brussel")</f>
        <v>Raamovereenkomst Brussel</v>
      </c>
      <c r="B62" s="21"/>
      <c r="C62" s="16">
        <v>1475</v>
      </c>
      <c r="D62" s="16">
        <v>62</v>
      </c>
      <c r="E62" s="17"/>
      <c r="F62" s="20"/>
      <c r="G62" s="19">
        <v>1537</v>
      </c>
    </row>
    <row r="63" spans="1:7" x14ac:dyDescent="0.2">
      <c r="A63" s="14" t="str">
        <f>IF(taal="NL","Raamovereenkomst Wallonië")</f>
        <v>Raamovereenkomst Wallonië</v>
      </c>
      <c r="B63" s="21"/>
      <c r="C63" s="16">
        <v>9216</v>
      </c>
      <c r="D63" s="16">
        <v>384</v>
      </c>
      <c r="E63" s="17"/>
      <c r="F63" s="20"/>
      <c r="G63" s="19">
        <v>9600</v>
      </c>
    </row>
    <row r="64" spans="1:7" x14ac:dyDescent="0.2">
      <c r="A64" s="14" t="str">
        <f>IF(taal="NL","Raamovereenkomst Duitstaligen")</f>
        <v>Raamovereenkomst Duitstaligen</v>
      </c>
      <c r="B64" s="21"/>
      <c r="C64" s="16">
        <v>288</v>
      </c>
      <c r="D64" s="16">
        <v>12</v>
      </c>
      <c r="E64" s="17"/>
      <c r="F64" s="20"/>
      <c r="G64" s="19">
        <v>300</v>
      </c>
    </row>
    <row r="65" spans="1:7" x14ac:dyDescent="0.2">
      <c r="A65" s="14" t="str">
        <f>IF(taal="NL","Variabele financiering raamakkoorden")</f>
        <v>Variabele financiering raamakkoorden</v>
      </c>
      <c r="B65" s="21"/>
      <c r="C65" s="16">
        <v>45130</v>
      </c>
      <c r="D65" s="16">
        <v>1880</v>
      </c>
      <c r="E65" s="17"/>
      <c r="F65" s="20"/>
      <c r="G65" s="19">
        <v>47010</v>
      </c>
    </row>
    <row r="66" spans="1:7" x14ac:dyDescent="0.2">
      <c r="A66" s="14" t="str">
        <f>IF(taal="NL","Handhaving/  doelmatige zorg")</f>
        <v>Handhaving/  doelmatige zorg</v>
      </c>
      <c r="B66" s="15">
        <v>994</v>
      </c>
      <c r="C66" s="17"/>
      <c r="D66" s="17"/>
      <c r="E66" s="17"/>
      <c r="F66" s="20"/>
      <c r="G66" s="19">
        <v>994</v>
      </c>
    </row>
    <row r="67" spans="1:7" x14ac:dyDescent="0.2">
      <c r="A67" s="14" t="str">
        <f>IF(taal="NL","BeNeLuxA - Scanning Horizon")</f>
        <v>BeNeLuxA - Scanning Horizon</v>
      </c>
      <c r="B67" s="15">
        <v>1000</v>
      </c>
      <c r="C67" s="17"/>
      <c r="D67" s="17"/>
      <c r="E67" s="17"/>
      <c r="F67" s="20"/>
      <c r="G67" s="19">
        <v>1000</v>
      </c>
    </row>
    <row r="68" spans="1:7" x14ac:dyDescent="0.2">
      <c r="A68" s="14" t="str">
        <f>IF(taal="NL","Extra middelen toekomstpact")</f>
        <v>Extra middelen toekomstpact</v>
      </c>
      <c r="B68" s="15">
        <v>268</v>
      </c>
      <c r="C68" s="17"/>
      <c r="D68" s="17"/>
      <c r="E68" s="17"/>
      <c r="F68" s="20"/>
      <c r="G68" s="19">
        <v>268</v>
      </c>
    </row>
    <row r="69" spans="1:7" x14ac:dyDescent="0.2">
      <c r="A69" s="14" t="str">
        <f>IF(taal="NL","Protocolakkoord BelRai - uitgaven gemeenschappen")</f>
        <v>Protocolakkoord BelRai - uitgaven gemeenschappen</v>
      </c>
      <c r="B69" s="15">
        <v>333</v>
      </c>
      <c r="C69" s="17"/>
      <c r="D69" s="17"/>
      <c r="E69" s="17"/>
      <c r="F69" s="20"/>
      <c r="G69" s="19">
        <v>333</v>
      </c>
    </row>
    <row r="70" spans="1:7" x14ac:dyDescent="0.2">
      <c r="A70" s="14" t="str">
        <f>IF(taal="NL","Transfert buiten doelstelling")</f>
        <v>Transfert buiten doelstelling</v>
      </c>
      <c r="B70" s="15">
        <v>-160650</v>
      </c>
      <c r="C70" s="17"/>
      <c r="D70" s="17"/>
      <c r="E70" s="17"/>
      <c r="F70" s="20"/>
      <c r="G70" s="19">
        <v>-160650</v>
      </c>
    </row>
    <row r="71" spans="1:7" x14ac:dyDescent="0.2">
      <c r="A71" s="14" t="str">
        <f>IF(taal="NL","Niet te besteden bedrag")</f>
        <v>Niet te besteden bedrag</v>
      </c>
      <c r="B71" s="15">
        <v>-40000</v>
      </c>
      <c r="C71" s="17"/>
      <c r="D71" s="17"/>
      <c r="E71" s="17"/>
      <c r="F71" s="20"/>
      <c r="G71" s="19">
        <v>-40000</v>
      </c>
    </row>
    <row r="72" spans="1:7" x14ac:dyDescent="0.2">
      <c r="A72" s="14" t="str">
        <f>IF(taal="NL","Relanceplan")</f>
        <v>Relanceplan</v>
      </c>
      <c r="B72" s="15">
        <v>7250</v>
      </c>
      <c r="C72" s="17"/>
      <c r="D72" s="17"/>
      <c r="E72" s="17"/>
      <c r="F72" s="20"/>
      <c r="G72" s="19">
        <v>7250</v>
      </c>
    </row>
    <row r="73" spans="1:7" x14ac:dyDescent="0.2">
      <c r="A73" s="14" t="str">
        <f>IF(taal="NL","Andere niet te besteden bedragen")</f>
        <v>Andere niet te besteden bedragen</v>
      </c>
      <c r="B73" s="15">
        <v>-250000</v>
      </c>
      <c r="C73" s="17"/>
      <c r="D73" s="17"/>
      <c r="E73" s="17"/>
      <c r="F73" s="20"/>
      <c r="G73" s="19">
        <v>-250000</v>
      </c>
    </row>
    <row r="74" spans="1:7" x14ac:dyDescent="0.2">
      <c r="A74" s="14" t="str">
        <f>IF(taal="NL","Technische correcties")</f>
        <v>Technische correcties</v>
      </c>
      <c r="B74" s="15">
        <v>-255500</v>
      </c>
      <c r="C74" s="17"/>
      <c r="D74" s="17"/>
      <c r="E74" s="17"/>
      <c r="F74" s="20"/>
      <c r="G74" s="19">
        <v>-255500</v>
      </c>
    </row>
    <row r="75" spans="1:7" x14ac:dyDescent="0.2">
      <c r="A75" s="14" t="str">
        <f>IF(taal="NL","Werkhervattingspremie")</f>
        <v>Werkhervattingspremie</v>
      </c>
      <c r="B75" s="21"/>
      <c r="C75" s="16">
        <v>31071</v>
      </c>
      <c r="D75" s="16">
        <v>841</v>
      </c>
      <c r="E75" s="17"/>
      <c r="F75" s="20"/>
      <c r="G75" s="19">
        <v>31912</v>
      </c>
    </row>
    <row r="76" spans="1:7" x14ac:dyDescent="0.2">
      <c r="A76" s="14" t="str">
        <f>IF(taal="NL","TNW-fonds")</f>
        <v>TNW-fonds</v>
      </c>
      <c r="B76" s="21"/>
      <c r="C76" s="23" t="s">
        <v>0</v>
      </c>
      <c r="D76" s="17"/>
      <c r="E76" s="17"/>
      <c r="F76" s="20"/>
      <c r="G76" s="19">
        <v>0</v>
      </c>
    </row>
    <row r="77" spans="1:7" x14ac:dyDescent="0.2">
      <c r="A77" s="14" t="s">
        <v>1</v>
      </c>
      <c r="B77" s="23" t="s">
        <v>0</v>
      </c>
      <c r="C77" s="23" t="s">
        <v>0</v>
      </c>
      <c r="D77" s="23" t="s">
        <v>0</v>
      </c>
      <c r="E77" s="17"/>
      <c r="F77" s="20"/>
      <c r="G77" s="19">
        <v>0</v>
      </c>
    </row>
    <row r="78" spans="1:7" x14ac:dyDescent="0.2">
      <c r="A78" s="9" t="str">
        <f>IF(taal="NL","Overgangsperiode staatshervorming")</f>
        <v>Overgangsperiode staatshervorming</v>
      </c>
      <c r="B78" s="10">
        <v>0</v>
      </c>
      <c r="C78" s="11">
        <v>0</v>
      </c>
      <c r="D78" s="11">
        <v>0</v>
      </c>
      <c r="E78" s="11">
        <v>0</v>
      </c>
      <c r="F78" s="12">
        <v>0</v>
      </c>
      <c r="G78" s="13">
        <v>0</v>
      </c>
    </row>
    <row r="79" spans="1:7" x14ac:dyDescent="0.2">
      <c r="A79" s="14" t="str">
        <f>IF(taal="NL","Uitgaven Vlaamse Gemeenschap")</f>
        <v>Uitgaven Vlaamse Gemeenschap</v>
      </c>
      <c r="B79" s="23" t="s">
        <v>0</v>
      </c>
      <c r="C79" s="17"/>
      <c r="D79" s="17"/>
      <c r="E79" s="17"/>
      <c r="F79" s="20"/>
      <c r="G79" s="19">
        <v>0</v>
      </c>
    </row>
    <row r="80" spans="1:7" x14ac:dyDescent="0.2">
      <c r="A80" s="14" t="str">
        <f>IF(taal="NL","Uitgaven Franstalige Gemeenschap")</f>
        <v>Uitgaven Franstalige Gemeenschap</v>
      </c>
      <c r="B80" s="23" t="s">
        <v>0</v>
      </c>
      <c r="C80" s="17"/>
      <c r="D80" s="17"/>
      <c r="E80" s="17"/>
      <c r="F80" s="20"/>
      <c r="G80" s="19">
        <v>0</v>
      </c>
    </row>
    <row r="81" spans="1:7" x14ac:dyDescent="0.2">
      <c r="A81" s="14" t="str">
        <f>IF(taal="NL","Uitgaven Brussels Gewest")</f>
        <v>Uitgaven Brussels Gewest</v>
      </c>
      <c r="B81" s="23" t="s">
        <v>0</v>
      </c>
      <c r="C81" s="17"/>
      <c r="D81" s="17"/>
      <c r="E81" s="17"/>
      <c r="F81" s="20"/>
      <c r="G81" s="19">
        <v>0</v>
      </c>
    </row>
    <row r="82" spans="1:7" ht="13.5" thickBot="1" x14ac:dyDescent="0.25">
      <c r="A82" s="14" t="str">
        <f>IF(taal="NL","Uitgaven Duitstalige Gemeenschap")</f>
        <v>Uitgaven Duitstalige Gemeenschap</v>
      </c>
      <c r="B82" s="23" t="s">
        <v>0</v>
      </c>
      <c r="C82" s="17"/>
      <c r="D82" s="17"/>
      <c r="E82" s="17"/>
      <c r="F82" s="20"/>
      <c r="G82" s="19">
        <v>0</v>
      </c>
    </row>
    <row r="83" spans="1:7" ht="13.5" thickTop="1" x14ac:dyDescent="0.2">
      <c r="A83" s="24" t="str">
        <f>IF(taal="NL","TUSSENTOTAAL UITGAVEN")</f>
        <v>TUSSENTOTAAL UITGAVEN</v>
      </c>
      <c r="B83" s="25">
        <v>42715288</v>
      </c>
      <c r="C83" s="25">
        <v>13823005</v>
      </c>
      <c r="D83" s="25">
        <v>926162</v>
      </c>
      <c r="E83" s="25">
        <v>561</v>
      </c>
      <c r="F83" s="25">
        <v>26520</v>
      </c>
      <c r="G83" s="24">
        <v>57491536</v>
      </c>
    </row>
    <row r="84" spans="1:7" x14ac:dyDescent="0.2">
      <c r="A84" s="29" t="str">
        <f>IF(taal="NL","Dotatie FMO")</f>
        <v>Dotatie FMO</v>
      </c>
      <c r="B84" s="15">
        <v>25315</v>
      </c>
      <c r="C84" s="17"/>
      <c r="D84" s="17"/>
      <c r="E84" s="17"/>
      <c r="F84" s="17"/>
      <c r="G84" s="29">
        <v>25315</v>
      </c>
    </row>
    <row r="85" spans="1:7" x14ac:dyDescent="0.2">
      <c r="A85" s="29" t="str">
        <f>IF(taal="NL","TOTAAL UITGAVEN")</f>
        <v>TOTAAL UITGAVEN</v>
      </c>
      <c r="B85" s="38">
        <v>42740603</v>
      </c>
      <c r="C85" s="39">
        <v>13823005</v>
      </c>
      <c r="D85" s="39">
        <v>926162</v>
      </c>
      <c r="E85" s="39">
        <v>561</v>
      </c>
      <c r="F85" s="40">
        <v>26520</v>
      </c>
      <c r="G85" s="29">
        <v>57516851</v>
      </c>
    </row>
    <row r="86" spans="1:7" ht="13.5" thickBot="1" x14ac:dyDescent="0.25">
      <c r="A86" s="30" t="str">
        <f>IF(taal="NL","RESULTAAT VAN HET JAAR")</f>
        <v>RESULTAAT VAN HET JAAR</v>
      </c>
      <c r="B86" s="31">
        <v>-7173</v>
      </c>
      <c r="C86" s="32">
        <v>0</v>
      </c>
      <c r="D86" s="32">
        <v>0</v>
      </c>
      <c r="E86" s="32">
        <v>0</v>
      </c>
      <c r="F86" s="41">
        <v>0</v>
      </c>
      <c r="G86" s="30">
        <v>-7173</v>
      </c>
    </row>
    <row r="87" spans="1:7" ht="13.5" thickTop="1" x14ac:dyDescent="0.2"/>
  </sheetData>
  <dataValidations count="1">
    <dataValidation type="list" allowBlank="1" showInputMessage="1" showErrorMessage="1" sqref="G1" xr:uid="{DAACC92D-E918-4ECB-9992-F5E0EED372C8}">
      <formula1>"in duizenden €,in €"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C309-4FEF-41EB-9E6D-C0333D9EDF7C}">
  <dimension ref="A1:G53"/>
  <sheetViews>
    <sheetView workbookViewId="0">
      <selection sqref="A1:G52"/>
    </sheetView>
  </sheetViews>
  <sheetFormatPr defaultRowHeight="12.75" x14ac:dyDescent="0.2"/>
  <cols>
    <col min="1" max="1" width="45.5703125" bestFit="1" customWidth="1"/>
    <col min="2" max="7" width="14.7109375" customWidth="1"/>
  </cols>
  <sheetData>
    <row r="1" spans="1:7" ht="20.25" thickTop="1" thickBot="1" x14ac:dyDescent="0.25">
      <c r="A1" s="1" t="s">
        <v>141</v>
      </c>
      <c r="B1" s="2"/>
      <c r="C1" s="2"/>
      <c r="D1" s="2"/>
      <c r="E1" s="2"/>
      <c r="F1" s="2"/>
      <c r="G1" s="3" t="s">
        <v>142</v>
      </c>
    </row>
    <row r="2" spans="1:7" ht="26.25" thickTop="1" x14ac:dyDescent="0.2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</row>
    <row r="3" spans="1:7" x14ac:dyDescent="0.2">
      <c r="A3" s="9" t="s">
        <v>9</v>
      </c>
      <c r="B3" s="10">
        <v>36053606</v>
      </c>
      <c r="C3" s="11">
        <v>13658245</v>
      </c>
      <c r="D3" s="11">
        <v>901519</v>
      </c>
      <c r="E3" s="11">
        <v>541</v>
      </c>
      <c r="F3" s="12">
        <v>0</v>
      </c>
      <c r="G3" s="13">
        <v>50613911</v>
      </c>
    </row>
    <row r="4" spans="1:7" x14ac:dyDescent="0.2">
      <c r="A4" s="14" t="s">
        <v>10</v>
      </c>
      <c r="B4" s="15">
        <v>25805036</v>
      </c>
      <c r="C4" s="16">
        <v>13658245</v>
      </c>
      <c r="D4" s="17"/>
      <c r="E4" s="16">
        <v>541</v>
      </c>
      <c r="F4" s="18"/>
      <c r="G4" s="19">
        <v>39463822</v>
      </c>
    </row>
    <row r="5" spans="1:7" x14ac:dyDescent="0.2">
      <c r="A5" s="14" t="s">
        <v>11</v>
      </c>
      <c r="B5" s="15">
        <v>2541988</v>
      </c>
      <c r="C5" s="17"/>
      <c r="D5" s="16">
        <v>901519</v>
      </c>
      <c r="E5" s="17"/>
      <c r="F5" s="20"/>
      <c r="G5" s="19">
        <v>3443507</v>
      </c>
    </row>
    <row r="6" spans="1:7" x14ac:dyDescent="0.2">
      <c r="A6" s="14" t="s">
        <v>12</v>
      </c>
      <c r="B6" s="35">
        <v>6842142</v>
      </c>
      <c r="C6" s="17"/>
      <c r="D6" s="17"/>
      <c r="E6" s="17"/>
      <c r="F6" s="20"/>
      <c r="G6" s="19">
        <v>6842142</v>
      </c>
    </row>
    <row r="7" spans="1:7" x14ac:dyDescent="0.2">
      <c r="A7" s="14" t="s">
        <v>13</v>
      </c>
      <c r="B7" s="35">
        <v>674002</v>
      </c>
      <c r="C7" s="17"/>
      <c r="D7" s="17"/>
      <c r="E7" s="17"/>
      <c r="F7" s="20"/>
      <c r="G7" s="19">
        <v>674002</v>
      </c>
    </row>
    <row r="8" spans="1:7" x14ac:dyDescent="0.2">
      <c r="A8" s="14" t="s">
        <v>14</v>
      </c>
      <c r="B8" s="35">
        <v>190438</v>
      </c>
      <c r="C8" s="17"/>
      <c r="D8" s="17"/>
      <c r="E8" s="17"/>
      <c r="F8" s="20"/>
      <c r="G8" s="19">
        <v>190438</v>
      </c>
    </row>
    <row r="9" spans="1:7" x14ac:dyDescent="0.2">
      <c r="A9" s="9" t="s">
        <v>15</v>
      </c>
      <c r="B9" s="10">
        <v>951437</v>
      </c>
      <c r="C9" s="10">
        <v>0</v>
      </c>
      <c r="D9" s="10">
        <v>0</v>
      </c>
      <c r="E9" s="10">
        <v>0</v>
      </c>
      <c r="F9" s="10">
        <v>0</v>
      </c>
      <c r="G9" s="13">
        <v>951437</v>
      </c>
    </row>
    <row r="10" spans="1:7" x14ac:dyDescent="0.2">
      <c r="A10" s="14" t="s">
        <v>16</v>
      </c>
      <c r="B10" s="35">
        <v>139189</v>
      </c>
      <c r="C10" s="17"/>
      <c r="D10" s="17"/>
      <c r="E10" s="17"/>
      <c r="F10" s="20"/>
      <c r="G10" s="19">
        <v>139189</v>
      </c>
    </row>
    <row r="11" spans="1:7" x14ac:dyDescent="0.2">
      <c r="A11" s="14" t="s">
        <v>17</v>
      </c>
      <c r="B11" s="35">
        <v>346786</v>
      </c>
      <c r="C11" s="17"/>
      <c r="D11" s="17"/>
      <c r="E11" s="17"/>
      <c r="F11" s="20"/>
      <c r="G11" s="19">
        <v>346786</v>
      </c>
    </row>
    <row r="12" spans="1:7" x14ac:dyDescent="0.2">
      <c r="A12" s="14" t="s">
        <v>18</v>
      </c>
      <c r="B12" s="35">
        <v>465462</v>
      </c>
      <c r="C12" s="17"/>
      <c r="D12" s="17"/>
      <c r="E12" s="17"/>
      <c r="F12" s="20"/>
      <c r="G12" s="19">
        <v>465462</v>
      </c>
    </row>
    <row r="13" spans="1:7" x14ac:dyDescent="0.2">
      <c r="A13" s="9" t="s">
        <v>19</v>
      </c>
      <c r="B13" s="10">
        <v>1728415</v>
      </c>
      <c r="C13" s="11">
        <v>600</v>
      </c>
      <c r="D13" s="11">
        <v>0</v>
      </c>
      <c r="E13" s="11">
        <v>0</v>
      </c>
      <c r="F13" s="12">
        <v>0</v>
      </c>
      <c r="G13" s="13">
        <v>1729015</v>
      </c>
    </row>
    <row r="14" spans="1:7" x14ac:dyDescent="0.2">
      <c r="A14" s="14" t="s">
        <v>20</v>
      </c>
      <c r="B14" s="35">
        <v>10566</v>
      </c>
      <c r="C14" s="16">
        <v>600</v>
      </c>
      <c r="D14" s="17"/>
      <c r="E14" s="17"/>
      <c r="F14" s="20"/>
      <c r="G14" s="19">
        <v>11166</v>
      </c>
    </row>
    <row r="15" spans="1:7" x14ac:dyDescent="0.2">
      <c r="A15" s="14" t="s">
        <v>21</v>
      </c>
      <c r="B15" s="35">
        <v>1717849</v>
      </c>
      <c r="C15" s="17"/>
      <c r="D15" s="17"/>
      <c r="E15" s="17"/>
      <c r="F15" s="20"/>
      <c r="G15" s="19">
        <v>1717849</v>
      </c>
    </row>
    <row r="16" spans="1:7" x14ac:dyDescent="0.2">
      <c r="A16" s="9" t="s">
        <v>22</v>
      </c>
      <c r="B16" s="10">
        <v>1564736</v>
      </c>
      <c r="C16" s="11">
        <v>146263</v>
      </c>
      <c r="D16" s="11">
        <v>24471</v>
      </c>
      <c r="E16" s="11">
        <v>0</v>
      </c>
      <c r="F16" s="12">
        <v>0</v>
      </c>
      <c r="G16" s="13">
        <v>1735470</v>
      </c>
    </row>
    <row r="17" spans="1:7" x14ac:dyDescent="0.2">
      <c r="A17" s="14" t="s">
        <v>23</v>
      </c>
      <c r="B17" s="35">
        <v>765367</v>
      </c>
      <c r="C17" s="17"/>
      <c r="D17" s="17"/>
      <c r="E17" s="17"/>
      <c r="F17" s="20"/>
      <c r="G17" s="19">
        <v>765367</v>
      </c>
    </row>
    <row r="18" spans="1:7" x14ac:dyDescent="0.2">
      <c r="A18" s="14" t="s">
        <v>24</v>
      </c>
      <c r="B18" s="35">
        <v>245784</v>
      </c>
      <c r="C18" s="16">
        <v>146263</v>
      </c>
      <c r="D18" s="16">
        <v>24471</v>
      </c>
      <c r="E18" s="17"/>
      <c r="F18" s="20"/>
      <c r="G18" s="19">
        <v>416518</v>
      </c>
    </row>
    <row r="19" spans="1:7" x14ac:dyDescent="0.2">
      <c r="A19" s="14" t="s">
        <v>25</v>
      </c>
      <c r="B19" s="35">
        <v>216500</v>
      </c>
      <c r="C19" s="17"/>
      <c r="D19" s="17"/>
      <c r="E19" s="17"/>
      <c r="F19" s="20"/>
      <c r="G19" s="19">
        <v>216500</v>
      </c>
    </row>
    <row r="20" spans="1:7" x14ac:dyDescent="0.2">
      <c r="A20" s="14" t="s">
        <v>26</v>
      </c>
      <c r="B20" s="35">
        <v>4897</v>
      </c>
      <c r="C20" s="17"/>
      <c r="D20" s="17"/>
      <c r="E20" s="17"/>
      <c r="F20" s="20"/>
      <c r="G20" s="19">
        <v>4897</v>
      </c>
    </row>
    <row r="21" spans="1:7" x14ac:dyDescent="0.2">
      <c r="A21" s="14" t="s">
        <v>27</v>
      </c>
      <c r="B21" s="35">
        <v>326021</v>
      </c>
      <c r="C21" s="17"/>
      <c r="D21" s="17"/>
      <c r="E21" s="17"/>
      <c r="F21" s="20"/>
      <c r="G21" s="19">
        <v>326021</v>
      </c>
    </row>
    <row r="22" spans="1:7" x14ac:dyDescent="0.2">
      <c r="A22" s="14" t="s">
        <v>28</v>
      </c>
      <c r="B22" s="35">
        <v>6167</v>
      </c>
      <c r="C22" s="17"/>
      <c r="D22" s="17"/>
      <c r="E22" s="17"/>
      <c r="F22" s="20"/>
      <c r="G22" s="19">
        <v>6167</v>
      </c>
    </row>
    <row r="23" spans="1:7" x14ac:dyDescent="0.2">
      <c r="A23" s="9" t="s">
        <v>29</v>
      </c>
      <c r="B23" s="10">
        <v>0</v>
      </c>
      <c r="C23" s="11">
        <v>0</v>
      </c>
      <c r="D23" s="11">
        <v>0</v>
      </c>
      <c r="E23" s="11">
        <v>10</v>
      </c>
      <c r="F23" s="12">
        <v>0</v>
      </c>
      <c r="G23" s="13">
        <v>10</v>
      </c>
    </row>
    <row r="24" spans="1:7" x14ac:dyDescent="0.2">
      <c r="A24" s="14" t="s">
        <v>30</v>
      </c>
      <c r="B24" s="21"/>
      <c r="C24" s="17"/>
      <c r="D24" s="17"/>
      <c r="E24" s="16">
        <v>10</v>
      </c>
      <c r="F24" s="20"/>
      <c r="G24" s="19">
        <v>10</v>
      </c>
    </row>
    <row r="25" spans="1:7" x14ac:dyDescent="0.2">
      <c r="A25" s="9" t="s">
        <v>31</v>
      </c>
      <c r="B25" s="10">
        <v>1536</v>
      </c>
      <c r="C25" s="11">
        <v>5</v>
      </c>
      <c r="D25" s="11">
        <v>2</v>
      </c>
      <c r="E25" s="11">
        <v>0</v>
      </c>
      <c r="F25" s="12">
        <v>0</v>
      </c>
      <c r="G25" s="13">
        <v>1543</v>
      </c>
    </row>
    <row r="26" spans="1:7" x14ac:dyDescent="0.2">
      <c r="A26" s="14" t="s">
        <v>32</v>
      </c>
      <c r="B26" s="35">
        <v>3</v>
      </c>
      <c r="C26" s="16">
        <v>5</v>
      </c>
      <c r="D26" s="16">
        <v>2</v>
      </c>
      <c r="E26" s="17"/>
      <c r="F26" s="20"/>
      <c r="G26" s="19">
        <v>10</v>
      </c>
    </row>
    <row r="27" spans="1:7" x14ac:dyDescent="0.2">
      <c r="A27" s="14" t="s">
        <v>33</v>
      </c>
      <c r="B27" s="35">
        <v>1533</v>
      </c>
      <c r="C27" s="17"/>
      <c r="D27" s="17"/>
      <c r="E27" s="17"/>
      <c r="F27" s="20"/>
      <c r="G27" s="19">
        <v>1533</v>
      </c>
    </row>
    <row r="28" spans="1:7" x14ac:dyDescent="0.2">
      <c r="A28" s="9" t="s">
        <v>34</v>
      </c>
      <c r="B28" s="10">
        <v>2433700</v>
      </c>
      <c r="C28" s="11">
        <v>17892</v>
      </c>
      <c r="D28" s="11">
        <v>170</v>
      </c>
      <c r="E28" s="11">
        <v>10</v>
      </c>
      <c r="F28" s="12">
        <v>1205</v>
      </c>
      <c r="G28" s="13">
        <v>2452977</v>
      </c>
    </row>
    <row r="29" spans="1:7" x14ac:dyDescent="0.2">
      <c r="A29" s="14" t="s">
        <v>35</v>
      </c>
      <c r="B29" s="35">
        <v>517653</v>
      </c>
      <c r="C29" s="16">
        <v>10000</v>
      </c>
      <c r="D29" s="16">
        <v>120</v>
      </c>
      <c r="E29" s="17"/>
      <c r="F29" s="20"/>
      <c r="G29" s="19">
        <v>527773</v>
      </c>
    </row>
    <row r="30" spans="1:7" x14ac:dyDescent="0.2">
      <c r="A30" s="14" t="s">
        <v>36</v>
      </c>
      <c r="B30" s="35">
        <v>1492</v>
      </c>
      <c r="C30" s="16">
        <v>1500</v>
      </c>
      <c r="D30" s="16">
        <v>50</v>
      </c>
      <c r="E30" s="17"/>
      <c r="F30" s="20"/>
      <c r="G30" s="19">
        <v>3042</v>
      </c>
    </row>
    <row r="31" spans="1:7" x14ac:dyDescent="0.2">
      <c r="A31" s="14" t="s">
        <v>37</v>
      </c>
      <c r="B31" s="35">
        <v>12897</v>
      </c>
      <c r="C31" s="17"/>
      <c r="D31" s="17"/>
      <c r="E31" s="17"/>
      <c r="F31" s="20"/>
      <c r="G31" s="19">
        <v>12897</v>
      </c>
    </row>
    <row r="32" spans="1:7" x14ac:dyDescent="0.2">
      <c r="A32" s="14" t="s">
        <v>38</v>
      </c>
      <c r="B32" s="21"/>
      <c r="C32" s="17"/>
      <c r="D32" s="17"/>
      <c r="E32" s="16">
        <v>10</v>
      </c>
      <c r="F32" s="20"/>
      <c r="G32" s="19">
        <v>10</v>
      </c>
    </row>
    <row r="33" spans="1:7" x14ac:dyDescent="0.2">
      <c r="A33" s="14" t="s">
        <v>39</v>
      </c>
      <c r="B33" s="21"/>
      <c r="C33" s="16">
        <v>6392</v>
      </c>
      <c r="D33" s="17"/>
      <c r="E33" s="17"/>
      <c r="F33" s="20"/>
      <c r="G33" s="19">
        <v>6392</v>
      </c>
    </row>
    <row r="34" spans="1:7" x14ac:dyDescent="0.2">
      <c r="A34" s="14" t="s">
        <v>40</v>
      </c>
      <c r="B34" s="35">
        <v>20</v>
      </c>
      <c r="C34" s="17"/>
      <c r="D34" s="17"/>
      <c r="E34" s="17"/>
      <c r="F34" s="20"/>
      <c r="G34" s="19">
        <v>20</v>
      </c>
    </row>
    <row r="35" spans="1:7" x14ac:dyDescent="0.2">
      <c r="A35" s="14" t="s">
        <v>41</v>
      </c>
      <c r="B35" s="35">
        <v>1842235</v>
      </c>
      <c r="C35" s="17"/>
      <c r="D35" s="17"/>
      <c r="E35" s="17"/>
      <c r="F35" s="20"/>
      <c r="G35" s="19">
        <v>1842235</v>
      </c>
    </row>
    <row r="36" spans="1:7" x14ac:dyDescent="0.2">
      <c r="A36" s="14" t="s">
        <v>42</v>
      </c>
      <c r="B36" s="35">
        <v>333</v>
      </c>
      <c r="C36" s="17"/>
      <c r="D36" s="17"/>
      <c r="E36" s="17"/>
      <c r="F36" s="20"/>
      <c r="G36" s="19">
        <v>333</v>
      </c>
    </row>
    <row r="37" spans="1:7" x14ac:dyDescent="0.2">
      <c r="A37" s="14" t="s">
        <v>43</v>
      </c>
      <c r="B37" s="35">
        <v>7250</v>
      </c>
      <c r="C37" s="17"/>
      <c r="D37" s="17"/>
      <c r="E37" s="17"/>
      <c r="F37" s="20"/>
      <c r="G37" s="19">
        <v>7250</v>
      </c>
    </row>
    <row r="38" spans="1:7" x14ac:dyDescent="0.2">
      <c r="A38" s="14" t="s">
        <v>44</v>
      </c>
      <c r="B38" s="35">
        <v>29700</v>
      </c>
      <c r="C38" s="17"/>
      <c r="D38" s="17"/>
      <c r="E38" s="17"/>
      <c r="F38" s="20"/>
      <c r="G38" s="19">
        <v>29700</v>
      </c>
    </row>
    <row r="39" spans="1:7" x14ac:dyDescent="0.2">
      <c r="A39" s="14" t="s">
        <v>45</v>
      </c>
      <c r="B39" s="35">
        <v>22120</v>
      </c>
      <c r="C39" s="17"/>
      <c r="D39" s="17"/>
      <c r="E39" s="17"/>
      <c r="F39" s="20"/>
      <c r="G39" s="19">
        <v>22120</v>
      </c>
    </row>
    <row r="40" spans="1:7" x14ac:dyDescent="0.2">
      <c r="A40" s="14" t="s">
        <v>46</v>
      </c>
      <c r="B40" s="21"/>
      <c r="C40" s="17"/>
      <c r="D40" s="17"/>
      <c r="E40" s="17"/>
      <c r="F40" s="22">
        <v>1140</v>
      </c>
      <c r="G40" s="19">
        <v>1140</v>
      </c>
    </row>
    <row r="41" spans="1:7" x14ac:dyDescent="0.2">
      <c r="A41" s="14" t="s">
        <v>47</v>
      </c>
      <c r="B41" s="21"/>
      <c r="C41" s="17"/>
      <c r="D41" s="17"/>
      <c r="E41" s="17"/>
      <c r="F41" s="22">
        <v>20</v>
      </c>
      <c r="G41" s="19">
        <v>20</v>
      </c>
    </row>
    <row r="42" spans="1:7" x14ac:dyDescent="0.2">
      <c r="A42" s="14" t="s">
        <v>48</v>
      </c>
      <c r="B42" s="21"/>
      <c r="C42" s="17"/>
      <c r="D42" s="17"/>
      <c r="E42" s="17"/>
      <c r="F42" s="22">
        <v>45</v>
      </c>
      <c r="G42" s="19">
        <v>45</v>
      </c>
    </row>
    <row r="43" spans="1:7" x14ac:dyDescent="0.2">
      <c r="A43" s="14" t="s">
        <v>49</v>
      </c>
      <c r="B43" s="21"/>
      <c r="C43" s="16" t="s">
        <v>0</v>
      </c>
      <c r="D43" s="17"/>
      <c r="E43" s="17"/>
      <c r="F43" s="20"/>
      <c r="G43" s="19">
        <v>0</v>
      </c>
    </row>
    <row r="44" spans="1:7" x14ac:dyDescent="0.2">
      <c r="A44" s="14" t="s">
        <v>1</v>
      </c>
      <c r="B44" s="36" t="s">
        <v>0</v>
      </c>
      <c r="C44" s="16" t="s">
        <v>0</v>
      </c>
      <c r="D44" s="16" t="s">
        <v>0</v>
      </c>
      <c r="E44" s="17"/>
      <c r="F44" s="20"/>
      <c r="G44" s="19">
        <v>0</v>
      </c>
    </row>
    <row r="45" spans="1:7" x14ac:dyDescent="0.2">
      <c r="A45" s="9" t="s">
        <v>50</v>
      </c>
      <c r="B45" s="10">
        <v>0</v>
      </c>
      <c r="C45" s="11">
        <v>0</v>
      </c>
      <c r="D45" s="11">
        <v>0</v>
      </c>
      <c r="E45" s="11">
        <v>0</v>
      </c>
      <c r="F45" s="12">
        <v>0</v>
      </c>
      <c r="G45" s="13">
        <v>0</v>
      </c>
    </row>
    <row r="46" spans="1:7" x14ac:dyDescent="0.2">
      <c r="A46" s="14" t="s">
        <v>51</v>
      </c>
      <c r="B46" s="37" t="s">
        <v>0</v>
      </c>
      <c r="C46" s="17"/>
      <c r="D46" s="17"/>
      <c r="E46" s="17"/>
      <c r="F46" s="20"/>
      <c r="G46" s="19">
        <v>0</v>
      </c>
    </row>
    <row r="47" spans="1:7" x14ac:dyDescent="0.2">
      <c r="A47" s="14" t="s">
        <v>52</v>
      </c>
      <c r="B47" s="37" t="s">
        <v>0</v>
      </c>
      <c r="C47" s="17"/>
      <c r="D47" s="17"/>
      <c r="E47" s="17"/>
      <c r="F47" s="20"/>
      <c r="G47" s="19">
        <v>0</v>
      </c>
    </row>
    <row r="48" spans="1:7" x14ac:dyDescent="0.2">
      <c r="A48" s="14" t="s">
        <v>53</v>
      </c>
      <c r="B48" s="37" t="s">
        <v>0</v>
      </c>
      <c r="C48" s="17"/>
      <c r="D48" s="17"/>
      <c r="E48" s="17"/>
      <c r="F48" s="20"/>
      <c r="G48" s="19">
        <v>0</v>
      </c>
    </row>
    <row r="49" spans="1:7" ht="13.5" thickBot="1" x14ac:dyDescent="0.25">
      <c r="A49" s="14" t="s">
        <v>54</v>
      </c>
      <c r="B49" s="37" t="s">
        <v>0</v>
      </c>
      <c r="C49" s="17"/>
      <c r="D49" s="17"/>
      <c r="E49" s="17"/>
      <c r="F49" s="20"/>
      <c r="G49" s="19">
        <v>0</v>
      </c>
    </row>
    <row r="50" spans="1:7" ht="13.5" thickTop="1" x14ac:dyDescent="0.2">
      <c r="A50" s="24" t="s">
        <v>55</v>
      </c>
      <c r="B50" s="25">
        <v>42733430</v>
      </c>
      <c r="C50" s="26">
        <v>13823005</v>
      </c>
      <c r="D50" s="26">
        <v>926162</v>
      </c>
      <c r="E50" s="26">
        <v>561</v>
      </c>
      <c r="F50" s="27">
        <v>1205</v>
      </c>
      <c r="G50" s="28">
        <v>57484363</v>
      </c>
    </row>
    <row r="51" spans="1:7" x14ac:dyDescent="0.2">
      <c r="A51" s="29" t="s">
        <v>56</v>
      </c>
      <c r="B51" s="17"/>
      <c r="C51" s="17"/>
      <c r="D51" s="17"/>
      <c r="E51" s="17"/>
      <c r="F51" s="22">
        <v>25315</v>
      </c>
      <c r="G51" s="13">
        <v>25315</v>
      </c>
    </row>
    <row r="52" spans="1:7" ht="13.5" thickBot="1" x14ac:dyDescent="0.25">
      <c r="A52" s="30" t="s">
        <v>57</v>
      </c>
      <c r="B52" s="31">
        <v>42733430</v>
      </c>
      <c r="C52" s="32">
        <v>13823005</v>
      </c>
      <c r="D52" s="32">
        <v>926162</v>
      </c>
      <c r="E52" s="32">
        <v>561</v>
      </c>
      <c r="F52" s="33">
        <v>26520</v>
      </c>
      <c r="G52" s="34">
        <v>57509678</v>
      </c>
    </row>
    <row r="53" spans="1:7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C54E1-C631-4C63-9CA0-3937AF7B4F62}">
  <dimension ref="A1:G87"/>
  <sheetViews>
    <sheetView tabSelected="1" workbookViewId="0">
      <selection activeCell="L34" sqref="L34"/>
    </sheetView>
  </sheetViews>
  <sheetFormatPr defaultRowHeight="12.75" x14ac:dyDescent="0.2"/>
  <cols>
    <col min="1" max="1" width="45.42578125" bestFit="1" customWidth="1"/>
    <col min="2" max="7" width="14.7109375" customWidth="1"/>
  </cols>
  <sheetData>
    <row r="1" spans="1:7" ht="20.25" thickTop="1" thickBot="1" x14ac:dyDescent="0.25">
      <c r="A1" s="1" t="s">
        <v>141</v>
      </c>
      <c r="B1" s="2"/>
      <c r="C1" s="2"/>
      <c r="D1" s="2"/>
      <c r="E1" s="2"/>
      <c r="F1" s="2"/>
      <c r="G1" s="3" t="s">
        <v>142</v>
      </c>
    </row>
    <row r="2" spans="1:7" ht="26.25" thickTop="1" x14ac:dyDescent="0.2">
      <c r="A2" s="4" t="s">
        <v>2</v>
      </c>
      <c r="B2" s="5" t="s">
        <v>60</v>
      </c>
      <c r="C2" s="6" t="s">
        <v>61</v>
      </c>
      <c r="D2" s="6" t="s">
        <v>62</v>
      </c>
      <c r="E2" s="6" t="s">
        <v>63</v>
      </c>
      <c r="F2" s="7" t="s">
        <v>64</v>
      </c>
      <c r="G2" s="8" t="s">
        <v>65</v>
      </c>
    </row>
    <row r="3" spans="1:7" x14ac:dyDescent="0.2">
      <c r="A3" s="9" t="s">
        <v>66</v>
      </c>
      <c r="B3" s="10">
        <v>37824710</v>
      </c>
      <c r="C3" s="11">
        <v>13300142</v>
      </c>
      <c r="D3" s="11">
        <v>894608</v>
      </c>
      <c r="E3" s="11">
        <v>390</v>
      </c>
      <c r="F3" s="12">
        <v>16280</v>
      </c>
      <c r="G3" s="13">
        <v>52036130</v>
      </c>
    </row>
    <row r="4" spans="1:7" x14ac:dyDescent="0.2">
      <c r="A4" s="14" t="s">
        <v>3</v>
      </c>
      <c r="B4" s="35">
        <v>37824710</v>
      </c>
      <c r="C4" s="17"/>
      <c r="D4" s="17"/>
      <c r="E4" s="17"/>
      <c r="F4" s="20"/>
      <c r="G4" s="19">
        <v>37824710</v>
      </c>
    </row>
    <row r="5" spans="1:7" x14ac:dyDescent="0.2">
      <c r="A5" s="14" t="s">
        <v>67</v>
      </c>
      <c r="B5" s="21"/>
      <c r="C5" s="16">
        <v>2851214</v>
      </c>
      <c r="D5" s="16">
        <v>221938</v>
      </c>
      <c r="E5" s="17"/>
      <c r="F5" s="20"/>
      <c r="G5" s="19">
        <v>3073152</v>
      </c>
    </row>
    <row r="6" spans="1:7" x14ac:dyDescent="0.2">
      <c r="A6" s="14" t="s">
        <v>68</v>
      </c>
      <c r="B6" s="21"/>
      <c r="C6" s="16">
        <v>893717</v>
      </c>
      <c r="D6" s="16">
        <v>73486</v>
      </c>
      <c r="E6" s="17"/>
      <c r="F6" s="20"/>
      <c r="G6" s="19">
        <v>967203</v>
      </c>
    </row>
    <row r="7" spans="1:7" x14ac:dyDescent="0.2">
      <c r="A7" s="14" t="s">
        <v>69</v>
      </c>
      <c r="B7" s="21"/>
      <c r="C7" s="16">
        <v>9555211</v>
      </c>
      <c r="D7" s="16">
        <v>599184</v>
      </c>
      <c r="E7" s="17"/>
      <c r="F7" s="20"/>
      <c r="G7" s="19">
        <v>10154395</v>
      </c>
    </row>
    <row r="8" spans="1:7" x14ac:dyDescent="0.2">
      <c r="A8" s="14" t="s">
        <v>70</v>
      </c>
      <c r="B8" s="21"/>
      <c r="C8" s="16" t="s">
        <v>0</v>
      </c>
      <c r="D8" s="17"/>
      <c r="E8" s="17"/>
      <c r="F8" s="20"/>
      <c r="G8" s="19">
        <v>0</v>
      </c>
    </row>
    <row r="9" spans="1:7" x14ac:dyDescent="0.2">
      <c r="A9" s="14" t="s">
        <v>71</v>
      </c>
      <c r="B9" s="21"/>
      <c r="C9" s="17"/>
      <c r="D9" s="17"/>
      <c r="E9" s="16">
        <v>360</v>
      </c>
      <c r="F9" s="20"/>
      <c r="G9" s="19">
        <v>360</v>
      </c>
    </row>
    <row r="10" spans="1:7" x14ac:dyDescent="0.2">
      <c r="A10" s="14" t="s">
        <v>72</v>
      </c>
      <c r="B10" s="21"/>
      <c r="C10" s="17"/>
      <c r="D10" s="17"/>
      <c r="E10" s="16">
        <v>15</v>
      </c>
      <c r="F10" s="20"/>
      <c r="G10" s="19">
        <v>15</v>
      </c>
    </row>
    <row r="11" spans="1:7" x14ac:dyDescent="0.2">
      <c r="A11" s="14" t="s">
        <v>73</v>
      </c>
      <c r="B11" s="21"/>
      <c r="C11" s="17"/>
      <c r="D11" s="17"/>
      <c r="E11" s="16">
        <v>15</v>
      </c>
      <c r="F11" s="20"/>
      <c r="G11" s="19">
        <v>15</v>
      </c>
    </row>
    <row r="12" spans="1:7" x14ac:dyDescent="0.2">
      <c r="A12" s="14" t="s">
        <v>74</v>
      </c>
      <c r="B12" s="21"/>
      <c r="C12" s="17"/>
      <c r="D12" s="17"/>
      <c r="E12" s="17"/>
      <c r="F12" s="22">
        <v>14300</v>
      </c>
      <c r="G12" s="19">
        <v>14300</v>
      </c>
    </row>
    <row r="13" spans="1:7" x14ac:dyDescent="0.2">
      <c r="A13" s="14" t="s">
        <v>75</v>
      </c>
      <c r="B13" s="21"/>
      <c r="C13" s="17"/>
      <c r="D13" s="17"/>
      <c r="E13" s="17"/>
      <c r="F13" s="22">
        <v>1980</v>
      </c>
      <c r="G13" s="19">
        <v>1980</v>
      </c>
    </row>
    <row r="14" spans="1:7" x14ac:dyDescent="0.2">
      <c r="A14" s="9" t="s">
        <v>76</v>
      </c>
      <c r="B14" s="10">
        <v>998904</v>
      </c>
      <c r="C14" s="11">
        <v>362806</v>
      </c>
      <c r="D14" s="11">
        <v>24300</v>
      </c>
      <c r="E14" s="11">
        <v>0</v>
      </c>
      <c r="F14" s="12">
        <v>0</v>
      </c>
      <c r="G14" s="13">
        <v>1386010</v>
      </c>
    </row>
    <row r="15" spans="1:7" x14ac:dyDescent="0.2">
      <c r="A15" s="14" t="s">
        <v>77</v>
      </c>
      <c r="B15" s="35">
        <v>939499</v>
      </c>
      <c r="C15" s="16">
        <v>0</v>
      </c>
      <c r="D15" s="16">
        <v>0</v>
      </c>
      <c r="E15" s="17"/>
      <c r="F15" s="20"/>
      <c r="G15" s="19">
        <v>939499</v>
      </c>
    </row>
    <row r="16" spans="1:7" x14ac:dyDescent="0.2">
      <c r="A16" s="14" t="s">
        <v>78</v>
      </c>
      <c r="B16" s="21"/>
      <c r="C16" s="16">
        <v>328836</v>
      </c>
      <c r="D16" s="16">
        <v>22090</v>
      </c>
      <c r="E16" s="17"/>
      <c r="F16" s="20"/>
      <c r="G16" s="19">
        <v>350926</v>
      </c>
    </row>
    <row r="17" spans="1:7" x14ac:dyDescent="0.2">
      <c r="A17" s="14" t="s">
        <v>79</v>
      </c>
      <c r="B17" s="21"/>
      <c r="C17" s="16">
        <v>6022</v>
      </c>
      <c r="D17" s="16">
        <v>405</v>
      </c>
      <c r="E17" s="17"/>
      <c r="F17" s="20"/>
      <c r="G17" s="19">
        <v>6427</v>
      </c>
    </row>
    <row r="18" spans="1:7" x14ac:dyDescent="0.2">
      <c r="A18" s="14" t="s">
        <v>80</v>
      </c>
      <c r="B18" s="35">
        <v>22804</v>
      </c>
      <c r="C18" s="17"/>
      <c r="D18" s="17"/>
      <c r="E18" s="17"/>
      <c r="F18" s="20"/>
      <c r="G18" s="19">
        <v>22804</v>
      </c>
    </row>
    <row r="19" spans="1:7" x14ac:dyDescent="0.2">
      <c r="A19" s="14" t="s">
        <v>81</v>
      </c>
      <c r="B19" s="35">
        <v>24918</v>
      </c>
      <c r="C19" s="16">
        <v>8240</v>
      </c>
      <c r="D19" s="16">
        <v>488</v>
      </c>
      <c r="E19" s="17"/>
      <c r="F19" s="20"/>
      <c r="G19" s="19">
        <v>33646</v>
      </c>
    </row>
    <row r="20" spans="1:7" x14ac:dyDescent="0.2">
      <c r="A20" s="14" t="s">
        <v>82</v>
      </c>
      <c r="B20" s="35">
        <v>0</v>
      </c>
      <c r="C20" s="16">
        <v>5</v>
      </c>
      <c r="D20" s="16">
        <v>1</v>
      </c>
      <c r="E20" s="17"/>
      <c r="F20" s="20"/>
      <c r="G20" s="19">
        <v>6</v>
      </c>
    </row>
    <row r="21" spans="1:7" x14ac:dyDescent="0.2">
      <c r="A21" s="14" t="s">
        <v>83</v>
      </c>
      <c r="B21" s="35">
        <v>10150</v>
      </c>
      <c r="C21" s="16">
        <v>11979</v>
      </c>
      <c r="D21" s="16">
        <v>532</v>
      </c>
      <c r="E21" s="17"/>
      <c r="F21" s="20"/>
      <c r="G21" s="19">
        <v>22661</v>
      </c>
    </row>
    <row r="22" spans="1:7" x14ac:dyDescent="0.2">
      <c r="A22" s="14" t="s">
        <v>84</v>
      </c>
      <c r="B22" s="35">
        <v>1533</v>
      </c>
      <c r="C22" s="17"/>
      <c r="D22" s="17"/>
      <c r="E22" s="17"/>
      <c r="F22" s="20"/>
      <c r="G22" s="19">
        <v>1533</v>
      </c>
    </row>
    <row r="23" spans="1:7" x14ac:dyDescent="0.2">
      <c r="A23" s="14" t="s">
        <v>85</v>
      </c>
      <c r="B23" s="21"/>
      <c r="C23" s="16">
        <v>7724</v>
      </c>
      <c r="D23" s="16">
        <v>784</v>
      </c>
      <c r="E23" s="17"/>
      <c r="F23" s="20"/>
      <c r="G23" s="19">
        <v>8508</v>
      </c>
    </row>
    <row r="24" spans="1:7" x14ac:dyDescent="0.2">
      <c r="A24" s="9" t="s">
        <v>86</v>
      </c>
      <c r="B24" s="10">
        <v>1000548</v>
      </c>
      <c r="C24" s="11">
        <v>39278</v>
      </c>
      <c r="D24" s="11">
        <v>2672</v>
      </c>
      <c r="E24" s="11">
        <v>170</v>
      </c>
      <c r="F24" s="12">
        <v>10240</v>
      </c>
      <c r="G24" s="13">
        <v>1052908</v>
      </c>
    </row>
    <row r="25" spans="1:7" x14ac:dyDescent="0.2">
      <c r="A25" s="14" t="s">
        <v>87</v>
      </c>
      <c r="B25" s="35">
        <v>118171</v>
      </c>
      <c r="C25" s="16">
        <v>36190</v>
      </c>
      <c r="D25" s="16">
        <v>2173</v>
      </c>
      <c r="E25" s="16">
        <v>170</v>
      </c>
      <c r="F25" s="22">
        <v>8590</v>
      </c>
      <c r="G25" s="19">
        <v>165294</v>
      </c>
    </row>
    <row r="26" spans="1:7" x14ac:dyDescent="0.2">
      <c r="A26" s="14" t="s">
        <v>88</v>
      </c>
      <c r="B26" s="35">
        <v>1296</v>
      </c>
      <c r="C26" s="16">
        <v>534</v>
      </c>
      <c r="D26" s="16">
        <v>53</v>
      </c>
      <c r="E26" s="17"/>
      <c r="F26" s="22">
        <v>0</v>
      </c>
      <c r="G26" s="19">
        <v>1883</v>
      </c>
    </row>
    <row r="27" spans="1:7" x14ac:dyDescent="0.2">
      <c r="A27" s="14" t="s">
        <v>89</v>
      </c>
      <c r="B27" s="21"/>
      <c r="C27" s="17"/>
      <c r="D27" s="17"/>
      <c r="E27" s="17"/>
      <c r="F27" s="20"/>
      <c r="G27" s="19">
        <v>1350</v>
      </c>
    </row>
    <row r="28" spans="1:7" x14ac:dyDescent="0.2">
      <c r="A28" s="14" t="s">
        <v>90</v>
      </c>
      <c r="B28" s="21"/>
      <c r="C28" s="17"/>
      <c r="D28" s="17"/>
      <c r="E28" s="17"/>
      <c r="F28" s="20"/>
      <c r="G28" s="19">
        <v>300</v>
      </c>
    </row>
    <row r="29" spans="1:7" x14ac:dyDescent="0.2">
      <c r="A29" s="14" t="s">
        <v>58</v>
      </c>
      <c r="B29" s="35">
        <v>6594</v>
      </c>
      <c r="C29" s="17"/>
      <c r="D29" s="17"/>
      <c r="E29" s="17"/>
      <c r="F29" s="20"/>
      <c r="G29" s="19">
        <v>6594</v>
      </c>
    </row>
    <row r="30" spans="1:7" x14ac:dyDescent="0.2">
      <c r="A30" s="14" t="s">
        <v>91</v>
      </c>
      <c r="B30" s="35">
        <v>313887</v>
      </c>
      <c r="C30" s="17"/>
      <c r="D30" s="17"/>
      <c r="E30" s="17"/>
      <c r="F30" s="20"/>
      <c r="G30" s="19">
        <v>313887</v>
      </c>
    </row>
    <row r="31" spans="1:7" x14ac:dyDescent="0.2">
      <c r="A31" s="14" t="s">
        <v>92</v>
      </c>
      <c r="B31" s="35">
        <v>137917</v>
      </c>
      <c r="C31" s="17"/>
      <c r="D31" s="17"/>
      <c r="E31" s="17"/>
      <c r="F31" s="20"/>
      <c r="G31" s="19">
        <v>137917</v>
      </c>
    </row>
    <row r="32" spans="1:7" x14ac:dyDescent="0.2">
      <c r="A32" s="14" t="s">
        <v>93</v>
      </c>
      <c r="B32" s="35">
        <v>87867</v>
      </c>
      <c r="C32" s="17"/>
      <c r="D32" s="17"/>
      <c r="E32" s="17"/>
      <c r="F32" s="20"/>
      <c r="G32" s="19">
        <v>87867</v>
      </c>
    </row>
    <row r="33" spans="1:7" x14ac:dyDescent="0.2">
      <c r="A33" s="14" t="s">
        <v>59</v>
      </c>
      <c r="B33" s="35">
        <v>1665</v>
      </c>
      <c r="C33" s="17"/>
      <c r="D33" s="17"/>
      <c r="E33" s="17"/>
      <c r="F33" s="20"/>
      <c r="G33" s="19">
        <v>1665</v>
      </c>
    </row>
    <row r="34" spans="1:7" x14ac:dyDescent="0.2">
      <c r="A34" s="14" t="s">
        <v>94</v>
      </c>
      <c r="B34" s="35">
        <v>21709</v>
      </c>
      <c r="C34" s="16">
        <v>2554</v>
      </c>
      <c r="D34" s="16">
        <v>446</v>
      </c>
      <c r="E34" s="17"/>
      <c r="F34" s="20"/>
      <c r="G34" s="19">
        <v>24709</v>
      </c>
    </row>
    <row r="35" spans="1:7" x14ac:dyDescent="0.2">
      <c r="A35" s="14" t="s">
        <v>95</v>
      </c>
      <c r="B35" s="35">
        <v>177612</v>
      </c>
      <c r="C35" s="17"/>
      <c r="D35" s="17"/>
      <c r="E35" s="17"/>
      <c r="F35" s="20"/>
      <c r="G35" s="19">
        <v>177612</v>
      </c>
    </row>
    <row r="36" spans="1:7" x14ac:dyDescent="0.2">
      <c r="A36" s="14" t="s">
        <v>96</v>
      </c>
      <c r="B36" s="35">
        <v>169</v>
      </c>
      <c r="C36" s="17"/>
      <c r="D36" s="17"/>
      <c r="E36" s="17"/>
      <c r="F36" s="20"/>
      <c r="G36" s="19">
        <v>169</v>
      </c>
    </row>
    <row r="37" spans="1:7" x14ac:dyDescent="0.2">
      <c r="A37" s="14" t="s">
        <v>97</v>
      </c>
      <c r="B37" s="35">
        <v>103808</v>
      </c>
      <c r="C37" s="17"/>
      <c r="D37" s="17"/>
      <c r="E37" s="17"/>
      <c r="F37" s="20"/>
      <c r="G37" s="19">
        <v>103808</v>
      </c>
    </row>
    <row r="38" spans="1:7" x14ac:dyDescent="0.2">
      <c r="A38" s="14" t="s">
        <v>98</v>
      </c>
      <c r="B38" s="35">
        <v>18764</v>
      </c>
      <c r="C38" s="17"/>
      <c r="D38" s="17"/>
      <c r="E38" s="17"/>
      <c r="F38" s="20"/>
      <c r="G38" s="19">
        <v>18764</v>
      </c>
    </row>
    <row r="39" spans="1:7" x14ac:dyDescent="0.2">
      <c r="A39" s="14" t="s">
        <v>99</v>
      </c>
      <c r="B39" s="35">
        <v>683</v>
      </c>
      <c r="C39" s="17"/>
      <c r="D39" s="17"/>
      <c r="E39" s="17"/>
      <c r="F39" s="20"/>
      <c r="G39" s="19">
        <v>683</v>
      </c>
    </row>
    <row r="40" spans="1:7" x14ac:dyDescent="0.2">
      <c r="A40" s="14" t="s">
        <v>100</v>
      </c>
      <c r="B40" s="35">
        <v>2526</v>
      </c>
      <c r="C40" s="17"/>
      <c r="D40" s="17"/>
      <c r="E40" s="17"/>
      <c r="F40" s="20"/>
      <c r="G40" s="19">
        <v>2526</v>
      </c>
    </row>
    <row r="41" spans="1:7" x14ac:dyDescent="0.2">
      <c r="A41" s="14" t="s">
        <v>101</v>
      </c>
      <c r="B41" s="35">
        <v>98</v>
      </c>
      <c r="C41" s="17"/>
      <c r="D41" s="17"/>
      <c r="E41" s="17"/>
      <c r="F41" s="20"/>
      <c r="G41" s="19">
        <v>98</v>
      </c>
    </row>
    <row r="42" spans="1:7" x14ac:dyDescent="0.2">
      <c r="A42" s="14" t="s">
        <v>102</v>
      </c>
      <c r="B42" s="35">
        <v>1077</v>
      </c>
      <c r="C42" s="17"/>
      <c r="D42" s="17"/>
      <c r="E42" s="17"/>
      <c r="F42" s="20"/>
      <c r="G42" s="19">
        <v>1077</v>
      </c>
    </row>
    <row r="43" spans="1:7" x14ac:dyDescent="0.2">
      <c r="A43" s="14" t="s">
        <v>103</v>
      </c>
      <c r="B43" s="35">
        <v>10</v>
      </c>
      <c r="C43" s="17"/>
      <c r="D43" s="17"/>
      <c r="E43" s="17"/>
      <c r="F43" s="20"/>
      <c r="G43" s="19">
        <v>10</v>
      </c>
    </row>
    <row r="44" spans="1:7" x14ac:dyDescent="0.2">
      <c r="A44" s="14" t="s">
        <v>104</v>
      </c>
      <c r="B44" s="35">
        <v>3354</v>
      </c>
      <c r="C44" s="17"/>
      <c r="D44" s="17"/>
      <c r="E44" s="17"/>
      <c r="F44" s="20"/>
      <c r="G44" s="19">
        <v>3354</v>
      </c>
    </row>
    <row r="45" spans="1:7" x14ac:dyDescent="0.2">
      <c r="A45" s="14" t="s">
        <v>105</v>
      </c>
      <c r="B45" s="35">
        <v>3341</v>
      </c>
      <c r="C45" s="17"/>
      <c r="D45" s="17"/>
      <c r="E45" s="17"/>
      <c r="F45" s="20"/>
      <c r="G45" s="19">
        <v>3341</v>
      </c>
    </row>
    <row r="46" spans="1:7" x14ac:dyDescent="0.2">
      <c r="A46" s="9" t="s">
        <v>106</v>
      </c>
      <c r="B46" s="10">
        <v>2590482</v>
      </c>
      <c r="C46" s="11">
        <v>0</v>
      </c>
      <c r="D46" s="11">
        <v>0</v>
      </c>
      <c r="E46" s="11">
        <v>0</v>
      </c>
      <c r="F46" s="12">
        <v>0</v>
      </c>
      <c r="G46" s="13">
        <v>2590482</v>
      </c>
    </row>
    <row r="47" spans="1:7" x14ac:dyDescent="0.2">
      <c r="A47" s="14" t="s">
        <v>107</v>
      </c>
      <c r="B47" s="35">
        <v>2583482</v>
      </c>
      <c r="C47" s="17"/>
      <c r="D47" s="17"/>
      <c r="E47" s="17"/>
      <c r="F47" s="20"/>
      <c r="G47" s="19">
        <v>2583482</v>
      </c>
    </row>
    <row r="48" spans="1:7" x14ac:dyDescent="0.2">
      <c r="A48" s="14" t="s">
        <v>108</v>
      </c>
      <c r="B48" s="35">
        <v>7000</v>
      </c>
      <c r="C48" s="17"/>
      <c r="D48" s="17"/>
      <c r="E48" s="17"/>
      <c r="F48" s="20"/>
      <c r="G48" s="19">
        <v>7000</v>
      </c>
    </row>
    <row r="49" spans="1:7" x14ac:dyDescent="0.2">
      <c r="A49" s="14" t="s">
        <v>109</v>
      </c>
      <c r="B49" s="35">
        <v>0</v>
      </c>
      <c r="C49" s="17"/>
      <c r="D49" s="17"/>
      <c r="E49" s="17"/>
      <c r="F49" s="20"/>
      <c r="G49" s="19">
        <v>0</v>
      </c>
    </row>
    <row r="50" spans="1:7" x14ac:dyDescent="0.2">
      <c r="A50" s="9" t="s">
        <v>29</v>
      </c>
      <c r="B50" s="10">
        <v>0</v>
      </c>
      <c r="C50" s="11">
        <v>0</v>
      </c>
      <c r="D50" s="11">
        <v>0</v>
      </c>
      <c r="E50" s="11">
        <v>0</v>
      </c>
      <c r="F50" s="12">
        <v>0</v>
      </c>
      <c r="G50" s="13">
        <v>0</v>
      </c>
    </row>
    <row r="51" spans="1:7" x14ac:dyDescent="0.2">
      <c r="A51" s="14" t="s">
        <v>30</v>
      </c>
      <c r="B51" s="21"/>
      <c r="C51" s="17"/>
      <c r="D51" s="17"/>
      <c r="E51" s="16" t="s">
        <v>0</v>
      </c>
      <c r="F51" s="20"/>
      <c r="G51" s="19">
        <v>0</v>
      </c>
    </row>
    <row r="52" spans="1:7" x14ac:dyDescent="0.2">
      <c r="A52" s="9" t="s">
        <v>34</v>
      </c>
      <c r="B52" s="10">
        <v>300644</v>
      </c>
      <c r="C52" s="11">
        <v>120779</v>
      </c>
      <c r="D52" s="11">
        <v>4582</v>
      </c>
      <c r="E52" s="11">
        <v>1</v>
      </c>
      <c r="F52" s="12">
        <v>0</v>
      </c>
      <c r="G52" s="13">
        <v>426006</v>
      </c>
    </row>
    <row r="53" spans="1:7" x14ac:dyDescent="0.2">
      <c r="A53" s="14" t="s">
        <v>110</v>
      </c>
      <c r="B53" s="35">
        <v>956280</v>
      </c>
      <c r="C53" s="16">
        <v>1100</v>
      </c>
      <c r="D53" s="16">
        <v>40</v>
      </c>
      <c r="E53" s="17"/>
      <c r="F53" s="20"/>
      <c r="G53" s="19">
        <v>957420</v>
      </c>
    </row>
    <row r="54" spans="1:7" x14ac:dyDescent="0.2">
      <c r="A54" s="14" t="s">
        <v>36</v>
      </c>
      <c r="B54" s="35">
        <v>7</v>
      </c>
      <c r="C54" s="16">
        <v>500</v>
      </c>
      <c r="D54" s="16">
        <v>30</v>
      </c>
      <c r="E54" s="17"/>
      <c r="F54" s="20"/>
      <c r="G54" s="19">
        <v>537</v>
      </c>
    </row>
    <row r="55" spans="1:7" x14ac:dyDescent="0.2">
      <c r="A55" s="14" t="s">
        <v>111</v>
      </c>
      <c r="B55" s="35">
        <v>5662</v>
      </c>
      <c r="C55" s="17"/>
      <c r="D55" s="17"/>
      <c r="E55" s="17"/>
      <c r="F55" s="20"/>
      <c r="G55" s="19">
        <v>5662</v>
      </c>
    </row>
    <row r="56" spans="1:7" x14ac:dyDescent="0.2">
      <c r="A56" s="14" t="s">
        <v>112</v>
      </c>
      <c r="B56" s="21"/>
      <c r="C56" s="17"/>
      <c r="D56" s="17"/>
      <c r="E56" s="16">
        <v>0</v>
      </c>
      <c r="F56" s="20"/>
      <c r="G56" s="19">
        <v>0</v>
      </c>
    </row>
    <row r="57" spans="1:7" x14ac:dyDescent="0.2">
      <c r="A57" s="14" t="s">
        <v>113</v>
      </c>
      <c r="B57" s="21"/>
      <c r="C57" s="17"/>
      <c r="D57" s="17"/>
      <c r="E57" s="16">
        <v>1</v>
      </c>
      <c r="F57" s="20"/>
      <c r="G57" s="19">
        <v>1</v>
      </c>
    </row>
    <row r="58" spans="1:7" x14ac:dyDescent="0.2">
      <c r="A58" s="14" t="s">
        <v>114</v>
      </c>
      <c r="B58" s="35">
        <v>35000</v>
      </c>
      <c r="C58" s="17"/>
      <c r="D58" s="17"/>
      <c r="E58" s="17"/>
      <c r="F58" s="20"/>
      <c r="G58" s="19">
        <v>35000</v>
      </c>
    </row>
    <row r="59" spans="1:7" x14ac:dyDescent="0.2">
      <c r="A59" s="14" t="s">
        <v>115</v>
      </c>
      <c r="B59" s="21"/>
      <c r="C59" s="16">
        <v>8083</v>
      </c>
      <c r="D59" s="16">
        <v>337</v>
      </c>
      <c r="E59" s="17"/>
      <c r="F59" s="20"/>
      <c r="G59" s="19">
        <v>8420</v>
      </c>
    </row>
    <row r="60" spans="1:7" x14ac:dyDescent="0.2">
      <c r="A60" s="14" t="s">
        <v>116</v>
      </c>
      <c r="B60" s="21"/>
      <c r="C60" s="16">
        <v>876</v>
      </c>
      <c r="D60" s="16">
        <v>36</v>
      </c>
      <c r="E60" s="17"/>
      <c r="F60" s="20"/>
      <c r="G60" s="19">
        <v>912</v>
      </c>
    </row>
    <row r="61" spans="1:7" x14ac:dyDescent="0.2">
      <c r="A61" s="14" t="s">
        <v>117</v>
      </c>
      <c r="B61" s="21"/>
      <c r="C61" s="16">
        <v>23040</v>
      </c>
      <c r="D61" s="16">
        <v>960</v>
      </c>
      <c r="E61" s="17"/>
      <c r="F61" s="20"/>
      <c r="G61" s="19">
        <v>24000</v>
      </c>
    </row>
    <row r="62" spans="1:7" x14ac:dyDescent="0.2">
      <c r="A62" s="14" t="s">
        <v>118</v>
      </c>
      <c r="B62" s="21"/>
      <c r="C62" s="16">
        <v>1475</v>
      </c>
      <c r="D62" s="16">
        <v>62</v>
      </c>
      <c r="E62" s="17"/>
      <c r="F62" s="20"/>
      <c r="G62" s="19">
        <v>1537</v>
      </c>
    </row>
    <row r="63" spans="1:7" x14ac:dyDescent="0.2">
      <c r="A63" s="14" t="s">
        <v>119</v>
      </c>
      <c r="B63" s="21"/>
      <c r="C63" s="16">
        <v>9216</v>
      </c>
      <c r="D63" s="16">
        <v>384</v>
      </c>
      <c r="E63" s="17"/>
      <c r="F63" s="20"/>
      <c r="G63" s="19">
        <v>9600</v>
      </c>
    </row>
    <row r="64" spans="1:7" x14ac:dyDescent="0.2">
      <c r="A64" s="14" t="s">
        <v>120</v>
      </c>
      <c r="B64" s="21"/>
      <c r="C64" s="16">
        <v>288</v>
      </c>
      <c r="D64" s="16">
        <v>12</v>
      </c>
      <c r="E64" s="17"/>
      <c r="F64" s="20"/>
      <c r="G64" s="19">
        <v>300</v>
      </c>
    </row>
    <row r="65" spans="1:7" x14ac:dyDescent="0.2">
      <c r="A65" s="14" t="s">
        <v>121</v>
      </c>
      <c r="B65" s="21"/>
      <c r="C65" s="16">
        <v>45130</v>
      </c>
      <c r="D65" s="16">
        <v>1880</v>
      </c>
      <c r="E65" s="17"/>
      <c r="F65" s="20"/>
      <c r="G65" s="19">
        <v>47010</v>
      </c>
    </row>
    <row r="66" spans="1:7" x14ac:dyDescent="0.2">
      <c r="A66" s="14" t="s">
        <v>122</v>
      </c>
      <c r="B66" s="35">
        <v>994</v>
      </c>
      <c r="C66" s="17"/>
      <c r="D66" s="17"/>
      <c r="E66" s="17"/>
      <c r="F66" s="20"/>
      <c r="G66" s="19">
        <v>994</v>
      </c>
    </row>
    <row r="67" spans="1:7" x14ac:dyDescent="0.2">
      <c r="A67" s="14" t="s">
        <v>123</v>
      </c>
      <c r="B67" s="35">
        <v>1000</v>
      </c>
      <c r="C67" s="17"/>
      <c r="D67" s="17"/>
      <c r="E67" s="17"/>
      <c r="F67" s="20"/>
      <c r="G67" s="19">
        <v>1000</v>
      </c>
    </row>
    <row r="68" spans="1:7" x14ac:dyDescent="0.2">
      <c r="A68" s="14" t="s">
        <v>124</v>
      </c>
      <c r="B68" s="35">
        <v>268</v>
      </c>
      <c r="C68" s="17"/>
      <c r="D68" s="17"/>
      <c r="E68" s="17"/>
      <c r="F68" s="20"/>
      <c r="G68" s="19">
        <v>268</v>
      </c>
    </row>
    <row r="69" spans="1:7" x14ac:dyDescent="0.2">
      <c r="A69" s="14" t="s">
        <v>125</v>
      </c>
      <c r="B69" s="35">
        <v>333</v>
      </c>
      <c r="C69" s="17"/>
      <c r="D69" s="17"/>
      <c r="E69" s="17"/>
      <c r="F69" s="20"/>
      <c r="G69" s="19">
        <v>333</v>
      </c>
    </row>
    <row r="70" spans="1:7" x14ac:dyDescent="0.2">
      <c r="A70" s="14" t="s">
        <v>126</v>
      </c>
      <c r="B70" s="35">
        <v>-160650</v>
      </c>
      <c r="C70" s="17"/>
      <c r="D70" s="17"/>
      <c r="E70" s="17"/>
      <c r="F70" s="20"/>
      <c r="G70" s="19">
        <v>-160650</v>
      </c>
    </row>
    <row r="71" spans="1:7" x14ac:dyDescent="0.2">
      <c r="A71" s="14" t="s">
        <v>127</v>
      </c>
      <c r="B71" s="35">
        <v>-40000</v>
      </c>
      <c r="C71" s="17"/>
      <c r="D71" s="17"/>
      <c r="E71" s="17"/>
      <c r="F71" s="20"/>
      <c r="G71" s="19">
        <v>-40000</v>
      </c>
    </row>
    <row r="72" spans="1:7" x14ac:dyDescent="0.2">
      <c r="A72" s="14" t="s">
        <v>128</v>
      </c>
      <c r="B72" s="35">
        <v>7250</v>
      </c>
      <c r="C72" s="17"/>
      <c r="D72" s="17"/>
      <c r="E72" s="17"/>
      <c r="F72" s="20"/>
      <c r="G72" s="19">
        <v>7250</v>
      </c>
    </row>
    <row r="73" spans="1:7" x14ac:dyDescent="0.2">
      <c r="A73" s="14" t="s">
        <v>129</v>
      </c>
      <c r="B73" s="35">
        <v>-250000</v>
      </c>
      <c r="C73" s="17"/>
      <c r="D73" s="17"/>
      <c r="E73" s="17"/>
      <c r="F73" s="20"/>
      <c r="G73" s="19">
        <v>-250000</v>
      </c>
    </row>
    <row r="74" spans="1:7" x14ac:dyDescent="0.2">
      <c r="A74" s="14" t="s">
        <v>130</v>
      </c>
      <c r="B74" s="35">
        <v>-255500</v>
      </c>
      <c r="C74" s="17"/>
      <c r="D74" s="17"/>
      <c r="E74" s="17"/>
      <c r="F74" s="20"/>
      <c r="G74" s="19">
        <v>-255500</v>
      </c>
    </row>
    <row r="75" spans="1:7" x14ac:dyDescent="0.2">
      <c r="A75" s="14" t="s">
        <v>131</v>
      </c>
      <c r="B75" s="21"/>
      <c r="C75" s="16">
        <v>31071</v>
      </c>
      <c r="D75" s="16">
        <v>841</v>
      </c>
      <c r="E75" s="17"/>
      <c r="F75" s="20"/>
      <c r="G75" s="19">
        <v>31912</v>
      </c>
    </row>
    <row r="76" spans="1:7" x14ac:dyDescent="0.2">
      <c r="A76" s="14" t="s">
        <v>49</v>
      </c>
      <c r="B76" s="21"/>
      <c r="C76" s="16" t="s">
        <v>0</v>
      </c>
      <c r="D76" s="17"/>
      <c r="E76" s="17"/>
      <c r="F76" s="20"/>
      <c r="G76" s="19">
        <v>0</v>
      </c>
    </row>
    <row r="77" spans="1:7" x14ac:dyDescent="0.2">
      <c r="A77" s="14" t="s">
        <v>1</v>
      </c>
      <c r="B77" s="21"/>
      <c r="C77" s="16" t="s">
        <v>0</v>
      </c>
      <c r="D77" s="16" t="s">
        <v>0</v>
      </c>
      <c r="E77" s="17"/>
      <c r="F77" s="20"/>
      <c r="G77" s="19">
        <v>0</v>
      </c>
    </row>
    <row r="78" spans="1:7" x14ac:dyDescent="0.2">
      <c r="A78" s="9" t="s">
        <v>50</v>
      </c>
      <c r="B78" s="10">
        <v>0</v>
      </c>
      <c r="C78" s="11">
        <v>0</v>
      </c>
      <c r="D78" s="11">
        <v>0</v>
      </c>
      <c r="E78" s="11">
        <v>0</v>
      </c>
      <c r="F78" s="12">
        <v>0</v>
      </c>
      <c r="G78" s="13">
        <v>0</v>
      </c>
    </row>
    <row r="79" spans="1:7" x14ac:dyDescent="0.2">
      <c r="A79" s="14" t="s">
        <v>132</v>
      </c>
      <c r="B79" s="35" t="s">
        <v>0</v>
      </c>
      <c r="C79" s="17"/>
      <c r="D79" s="17"/>
      <c r="E79" s="17"/>
      <c r="F79" s="20"/>
      <c r="G79" s="19">
        <v>0</v>
      </c>
    </row>
    <row r="80" spans="1:7" x14ac:dyDescent="0.2">
      <c r="A80" s="14" t="s">
        <v>133</v>
      </c>
      <c r="B80" s="35" t="s">
        <v>0</v>
      </c>
      <c r="C80" s="17"/>
      <c r="D80" s="17"/>
      <c r="E80" s="17"/>
      <c r="F80" s="20"/>
      <c r="G80" s="19">
        <v>0</v>
      </c>
    </row>
    <row r="81" spans="1:7" x14ac:dyDescent="0.2">
      <c r="A81" s="14" t="s">
        <v>134</v>
      </c>
      <c r="B81" s="35" t="s">
        <v>0</v>
      </c>
      <c r="C81" s="17"/>
      <c r="D81" s="17"/>
      <c r="E81" s="17"/>
      <c r="F81" s="20"/>
      <c r="G81" s="19">
        <v>0</v>
      </c>
    </row>
    <row r="82" spans="1:7" ht="13.5" thickBot="1" x14ac:dyDescent="0.25">
      <c r="A82" s="14" t="s">
        <v>135</v>
      </c>
      <c r="B82" s="35" t="s">
        <v>0</v>
      </c>
      <c r="C82" s="17"/>
      <c r="D82" s="17"/>
      <c r="E82" s="17"/>
      <c r="F82" s="20"/>
      <c r="G82" s="19">
        <v>0</v>
      </c>
    </row>
    <row r="83" spans="1:7" ht="13.5" thickTop="1" x14ac:dyDescent="0.2">
      <c r="A83" s="24" t="s">
        <v>136</v>
      </c>
      <c r="B83" s="25">
        <v>42715288</v>
      </c>
      <c r="C83" s="26">
        <v>13823005</v>
      </c>
      <c r="D83" s="26">
        <v>926162</v>
      </c>
      <c r="E83" s="26">
        <v>561</v>
      </c>
      <c r="F83" s="42">
        <v>26520</v>
      </c>
      <c r="G83" s="24">
        <v>57491536</v>
      </c>
    </row>
    <row r="84" spans="1:7" x14ac:dyDescent="0.2">
      <c r="A84" s="29" t="s">
        <v>137</v>
      </c>
      <c r="B84" s="43">
        <v>25315</v>
      </c>
      <c r="C84" s="17"/>
      <c r="D84" s="17"/>
      <c r="E84" s="17"/>
      <c r="F84" s="17"/>
      <c r="G84" s="29">
        <v>25315</v>
      </c>
    </row>
    <row r="85" spans="1:7" x14ac:dyDescent="0.2">
      <c r="A85" s="29" t="s">
        <v>138</v>
      </c>
      <c r="B85" s="38">
        <v>42740603</v>
      </c>
      <c r="C85" s="39">
        <v>13823005</v>
      </c>
      <c r="D85" s="39">
        <v>926162</v>
      </c>
      <c r="E85" s="39">
        <v>561</v>
      </c>
      <c r="F85" s="40">
        <v>26520</v>
      </c>
      <c r="G85" s="29">
        <v>57516851</v>
      </c>
    </row>
    <row r="86" spans="1:7" ht="13.5" thickBot="1" x14ac:dyDescent="0.25">
      <c r="A86" s="30" t="s">
        <v>139</v>
      </c>
      <c r="B86" s="31">
        <v>-7173</v>
      </c>
      <c r="C86" s="32">
        <v>0</v>
      </c>
      <c r="D86" s="32">
        <v>0</v>
      </c>
      <c r="E86" s="32">
        <v>0</v>
      </c>
      <c r="F86" s="41">
        <v>0</v>
      </c>
      <c r="G86" s="30">
        <v>-7173</v>
      </c>
    </row>
    <row r="87" spans="1:7" ht="13.5" thickTop="1" x14ac:dyDescent="0.2"/>
  </sheetData>
  <dataValidations count="1">
    <dataValidation type="list" allowBlank="1" showInputMessage="1" showErrorMessage="1" sqref="G1" xr:uid="{8F82A34C-F4AB-49AA-80FC-ADDF6849B0C9}">
      <formula1>"in duizenden €,in €"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ontvangsten</vt:lpstr>
      <vt:lpstr>uitgaven</vt:lpstr>
      <vt:lpstr>recettes</vt:lpstr>
      <vt:lpstr>dépenses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Berthouil (RIZIV-INAMI)</dc:creator>
  <cp:lastModifiedBy>Kathy Berthouil (RIZIV-INAMI)</cp:lastModifiedBy>
  <dcterms:created xsi:type="dcterms:W3CDTF">2024-07-30T11:44:31Z</dcterms:created>
  <dcterms:modified xsi:type="dcterms:W3CDTF">2024-07-30T11:50:43Z</dcterms:modified>
</cp:coreProperties>
</file>